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a-me" sheetId="1" state="visible" r:id="rId3"/>
    <sheet name="Resultados" sheetId="2" state="visible" r:id="rId4"/>
    <sheet name="Premissas" sheetId="3" state="visible" r:id="rId5"/>
    <sheet name="Dados_Base" sheetId="4" state="visible" r:id="rId6"/>
    <sheet name="Hist_Entrada" sheetId="5" state="visible" r:id="rId7"/>
    <sheet name="IPCA" sheetId="6" state="visible" r:id="rId8"/>
    <sheet name="Calc_A" sheetId="7" state="visible" r:id="rId9"/>
    <sheet name="Calc_B" sheetId="8" state="visible" r:id="rId10"/>
    <sheet name="Calc_C" sheetId="9" state="visible" r:id="rId11"/>
    <sheet name="Ref_ASSEF" sheetId="10" state="visible" r:id="rId12"/>
    <sheet name="Notas" sheetId="11" state="visible" r:id="rId13"/>
  </sheets>
  <definedNames>
    <definedName function="false" hidden="false" name="acao_00yb" vbProcedure="false">Dados_Base!$C$67</definedName>
    <definedName function="false" hidden="false" name="cap_on" vbProcedure="false">Premissas!$C$25</definedName>
    <definedName function="false" hidden="false" name="cap_pct" vbProcedure="false">Premissas!$C$6</definedName>
    <definedName function="false" hidden="false" name="cifpm_ter" vbProcedure="false">Premissas!$C$7</definedName>
    <definedName function="false" hidden="false" name="coef_obs26" vbProcedure="false">Dados_Base!$C$73</definedName>
    <definedName function="false" hidden="false" name="comp_fundo" vbProcedure="false">Premissas!$C$22</definedName>
    <definedName function="false" hidden="false" name="D_ploa" vbProcedure="false">Dados_Base!$C$58</definedName>
    <definedName function="false" hidden="false" name="ext_each" vbProcedure="false">Premissas!$C$17</definedName>
    <definedName function="false" hidden="false" name="fed_impl" vbProcedure="false">Dados_Base!$C$54</definedName>
    <definedName function="false" hidden="false" name="focus26" vbProcedure="false">Premissas!$C$39</definedName>
    <definedName function="false" hidden="false" name="focus27" vbProcedure="false">Premissas!$C$40</definedName>
    <definedName function="false" hidden="false" name="fpm25_cota" vbProcedure="false">Dados_Base!$C$76</definedName>
    <definedName function="false" hidden="false" name="fpm25_extra" vbProcedure="false">Dados_Base!$C$77</definedName>
    <definedName function="false" hidden="false" name="fpm26_cota" vbProcedure="false">Dados_Base!$C$78</definedName>
    <definedName function="false" hidden="false" name="fpm26_extra" vbProcedure="false">Dados_Base!$C$79</definedName>
    <definedName function="false" hidden="false" name="fpm26_tot" vbProcedure="false">Dados_Base!$C$80</definedName>
    <definedName function="false" hidden="false" name="fpm_tot_26" vbProcedure="false">Dados_Base!$C$24</definedName>
    <definedName function="false" hidden="false" name="fpm_tot_27" vbProcedure="false">Dados_Base!$C$42</definedName>
    <definedName function="false" hidden="false" name="frac_imp" vbProcedure="false">Premissas!$C$32</definedName>
    <definedName function="false" hidden="false" name="fundeb" vbProcedure="false">Premissas!$C$10</definedName>
    <definedName function="false" hidden="false" name="fundo_quadro10" vbProcedure="false">Dados_Base!$C$68</definedName>
    <definedName function="false" hidden="false" name="idx_avg26" vbProcedure="false">IPCA!$G$5</definedName>
    <definedName function="false" hidden="false" name="imp_share" vbProcedure="false">Dados_Base!$C$23</definedName>
    <definedName function="false" hidden="false" name="ipi_1201_26" vbProcedure="false">Dados_Base!$C$21</definedName>
    <definedName function="false" hidden="false" name="ipi_fpm_26" vbProcedure="false">Dados_Base!$C$22</definedName>
    <definedName function="false" hidden="false" name="ipi_fpm_27" vbProcedure="false">Dados_Base!$C$40</definedName>
    <definedName function="false" hidden="false" name="ipi_plo_26" vbProcedure="false">Dados_Base!$C$64</definedName>
    <definedName function="false" hidden="false" name="ipi_plo_27" vbProcedure="false">Dados_Base!$C$65</definedName>
    <definedName function="false" hidden="false" name="ipi_rfb_ago_26" vbProcedure="false">Dados_Base!$C$63</definedName>
    <definedName function="false" hidden="false" name="ipi_rfb_jan_ago_26" vbProcedure="false">Dados_Base!$C$62</definedName>
    <definedName function="false" hidden="false" name="ipi_tot_26" vbProcedure="false">Dados_Base!$C$25</definedName>
    <definedName function="false" hidden="false" name="ipi_tot_27" vbProcedure="false">Dados_Base!$C$43</definedName>
    <definedName function="false" hidden="false" name="isA_ramp" vbProcedure="false">Premissas!$C$36</definedName>
    <definedName function="false" hidden="false" name="isA_real" vbProcedure="false">Premissas!$C$37</definedName>
    <definedName function="false" hidden="false" name="isA_start" vbProcedure="false">Premissas!$C$35</definedName>
    <definedName function="false" hidden="false" name="isB_ramp" vbProcedure="false">Premissas!$D$36</definedName>
    <definedName function="false" hidden="false" name="isB_real" vbProcedure="false">Premissas!$D$37</definedName>
    <definedName function="false" hidden="false" name="isB_start" vbProcedure="false">Premissas!$D$35</definedName>
    <definedName function="false" hidden="false" name="isC_ramp" vbProcedure="false">Premissas!$E$36</definedName>
    <definedName function="false" hidden="false" name="isC_real" vbProcedure="false">Premissas!$E$37</definedName>
    <definedName function="false" hidden="false" name="isC_start" vbProcedure="false">Premissas!$E$35</definedName>
    <definedName function="false" hidden="false" name="is_fpm_27" vbProcedure="false">Dados_Base!$C$41</definedName>
    <definedName function="false" hidden="false" name="is_plo_27" vbProcedure="false">Dados_Base!$C$66</definedName>
    <definedName function="false" hidden="false" name="is_tot_27" vbProcedure="false">Dados_Base!$C$44</definedName>
    <definedName function="false" hidden="false" name="is_tot_27_chk" vbProcedure="false">Dados_Base!$C$45</definedName>
    <definedName function="false" hidden="false" name="lag_comp" vbProcedure="false">Premissas!$C$24</definedName>
    <definedName function="false" hidden="false" name="lag_rec" vbProcedure="false">Premissas!$C$30</definedName>
    <definedName function="false" hidden="false" name="loa_1201" vbProcedure="false">Dados_Base!$C$6</definedName>
    <definedName function="false" hidden="false" name="loa_9201" vbProcedure="false">Dados_Base!$C$7</definedName>
    <definedName function="false" hidden="false" name="loa_9201_ipi" vbProcedure="false">Dados_Base!$C$20</definedName>
    <definedName function="false" hidden="false" name="orc_cota" vbProcedure="false">Dados_Base!$C$49</definedName>
    <definedName function="false" hidden="false" name="orc_ded" vbProcedure="false">Dados_Base!$C$51</definedName>
    <definedName function="false" hidden="false" name="orc_extra" vbProcedure="false">Dados_Base!$C$50</definedName>
    <definedName function="false" hidden="false" name="orc_tot" vbProcedure="false">Dados_Base!$C$52</definedName>
    <definedName function="false" hidden="false" name="part_ter" vbProcedure="false">Premissas!$C$8</definedName>
    <definedName function="false" hidden="false" name="ploa_1201" vbProcedure="false">Dados_Base!$C$27</definedName>
    <definedName function="false" hidden="false" name="ploa_9201" vbProcedure="false">Dados_Base!$C$28</definedName>
    <definedName function="false" hidden="false" name="ploa_9203" vbProcedure="false">Dados_Base!$C$39</definedName>
    <definedName function="false" hidden="false" name="p_all" vbProcedure="false">Premissas!$C$18</definedName>
    <definedName function="false" hidden="false" name="p_fin" vbProcedure="false">Premissas!$C$15</definedName>
    <definedName function="false" hidden="false" name="p_fpe" vbProcedure="false">Premissas!$C$12</definedName>
    <definedName function="false" hidden="false" name="p_fpm" vbProcedure="false">Premissas!$C$20</definedName>
    <definedName function="false" hidden="false" name="p_fpm_ext" vbProcedure="false">Premissas!$C$14</definedName>
    <definedName function="false" hidden="false" name="p_fpm_reg" vbProcedure="false">Premissas!$C$13</definedName>
    <definedName function="false" hidden="false" name="p_ipiex" vbProcedure="false">Premissas!$C$16</definedName>
    <definedName function="false" hidden="false" name="p_reg" vbProcedure="false">Premissas!$C$19</definedName>
    <definedName function="false" hidden="false" name="refLC_mensal" vbProcedure="false">Hist_Entrada!$E$35</definedName>
    <definedName function="false" hidden="false" name="ref_anual" vbProcedure="false">Premissas!$C$27</definedName>
    <definedName function="false" hidden="false" name="ref_fonte" vbProcedure="false">Premissas!$C$28</definedName>
    <definedName function="false" hidden="false" name="ref_implied" vbProcedure="false">Dados_Base!$C$59</definedName>
    <definedName function="false" hidden="false" name="ref_LC_anual" vbProcedure="false">IPCA!$G$7</definedName>
    <definedName function="false" hidden="false" name="ref_override" vbProcedure="false">Premissas!$C$26</definedName>
    <definedName function="false" hidden="false" name="seas_fg" vbProcedure="false">Hist_Entrada!$C$24:$N$24</definedName>
    <definedName function="false" hidden="false" name="share_ipiis" vbProcedure="false">Dados_Base!$C$47</definedName>
    <definedName function="false" hidden="false" name="sh_same" vbProcedure="false">Premissas!$C$31</definedName>
    <definedName function="false" hidden="false" name="sum_idx27" vbProcedure="false">IPCA!$G$6</definedName>
    <definedName function="false" hidden="false" name="s_obs26" vbProcedure="false">Dados_Base!$C$74</definedName>
    <definedName function="false" hidden="false" name="s_T" vbProcedure="false">Premissas!$C$9</definedName>
    <definedName function="false" hidden="false" name="uplift" vbProcedure="false">Premissas!$C$23</definedName>
    <definedName function="false" hidden="false" name="w_fpm" vbProcedure="false">Hist_Entrada!$C$19:$N$19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<sst xmlns="http://schemas.openxmlformats.org/spreadsheetml/2006/main" count="808" uniqueCount="524">
  <si>
    <t xml:space="preserve">MODELO DE IMPACTO DA TRANSIÇÃO IPI -&gt; IMPOSTO SELETIVO NO FPM DE TERESINA (2027)</t>
  </si>
  <si>
    <t xml:space="preserve">Versão final de 22/10/2026. Valores em R$ milhões, líquidos do Fundeb quando indicado. Estimativas de compensação são internas (não orçadas).</t>
  </si>
  <si>
    <t xml:space="preserve">Como usar</t>
  </si>
  <si>
    <t xml:space="preserve">Altere apenas as células azuis/amarelas das abas Premissas e Hist_Entrada. Tudo o mais é fórmula. Os resultados estão na aba Resultados.</t>
  </si>
  <si>
    <t xml:space="preserve">Legenda de cores</t>
  </si>
  <si>
    <t xml:space="preserve">Azul: dado de entrada. Preto: fórmula. Verde: vínculo com outra aba. Amarelo: campo a preencher ou premissa a validar. Cinza (abas Calc): meses de 2026, usados só como apoio.</t>
  </si>
  <si>
    <t xml:space="preserve">Abas</t>
  </si>
  <si>
    <t xml:space="preserve">Resultados | Premissas | Dados_Base | Hist_Entrada | IPCA | Calc_A, Calc_B, Calc_C | Ref_ASSEF | Notas</t>
  </si>
  <si>
    <t xml:space="preserve">Pendências</t>
  </si>
  <si>
    <t xml:space="preserve">1) Base de cálculo de set-dez/2026 quando publicada, para trocar a projeção. 2) Valor oficial de referência quando o TCU publicar. 3) Memória de cálculo da SOF para os R$ 33.777,6 mi e para a ação 00YB (R$ 23.498,5 mi). 4) Regra de recolhimento do IS (prazo e decêndios). 5) Texto do PLN 24/2026.</t>
  </si>
  <si>
    <t xml:space="preserve">Uso da compensação</t>
  </si>
  <si>
    <t xml:space="preserve">Os valores de compensação são estimativas internas, calculadas sem a referência oficial do TCU e sem dado individualizado da União. Seguindo a CNM (NT 152/2026), servem para dimensionar caixa e risco, não para prever receita: a compensação é risco/oportunidade fiscal, não orçada, e deve ser reestimada na execução.</t>
  </si>
  <si>
    <t xml:space="preserve">Leitura rápida</t>
  </si>
  <si>
    <t xml:space="preserve">Na aba Resultados, observe o 'Descasamento acumulado mínimo' (maior necessidade de caixa) e o 'Mês do pior ponto'. As abas Notas e Ref_ASSEF explicam as premissas e a correção da nota do Estado.</t>
  </si>
  <si>
    <t xml:space="preserve">RESULTADOS - IMPACTO DA TRANSIÇÃO IPI -&gt; IS NO FPM DE TERESINA, 2027 (R$ milhões)</t>
  </si>
  <si>
    <t xml:space="preserve">Descasamento = caixa líquido recebido pelo canal IPI/IS + compensação, menos a parcela de Teresina no valor de referência da LC 214 (negativo = falta de caixa). Valores líquidos do Fundeb.</t>
  </si>
  <si>
    <t xml:space="preserve">Indicador</t>
  </si>
  <si>
    <t xml:space="preserve">Cenário A (IS em mar)</t>
  </si>
  <si>
    <t xml:space="preserve">Cenário B (IS em abr)</t>
  </si>
  <si>
    <t xml:space="preserve">Cenário C (IS em jul)</t>
  </si>
  <si>
    <t xml:space="preserve">Leitura</t>
  </si>
  <si>
    <t xml:space="preserve">NACIONAL</t>
  </si>
  <si>
    <t xml:space="preserve">Compensação nacional paga em 2027 (apurações de jan a out)</t>
  </si>
  <si>
    <t xml:space="preserve">Soma da coluna V</t>
  </si>
  <si>
    <t xml:space="preserve">Compensação apurada em nov-dez/2027 (paga em 2028)</t>
  </si>
  <si>
    <t xml:space="preserve">Fica fora do exercício de 2027</t>
  </si>
  <si>
    <t xml:space="preserve">Compensação total apurada em 2027 (12 apurações)</t>
  </si>
  <si>
    <t xml:space="preserve">Comparar com o fundo do PLN</t>
  </si>
  <si>
    <t xml:space="preserve">Fundo de compensação do PLN 24/2026</t>
  </si>
  <si>
    <t xml:space="preserve">Informado pelo usuário</t>
  </si>
  <si>
    <t xml:space="preserve">Insuficiência (+) ou folga (-) do fundo frente à apuração de 12 meses</t>
  </si>
  <si>
    <t xml:space="preserve">Positivo = União precisará de crédito adicional</t>
  </si>
  <si>
    <t xml:space="preserve">Compensação paga em 2027 acima da dotação do fundo (base caixa)</t>
  </si>
  <si>
    <t xml:space="preserve">Positivo = dotação de 2027 insuficiente para o cronograma de pagamento</t>
  </si>
  <si>
    <t xml:space="preserve">TERESINA (líquido do Fundeb)</t>
  </si>
  <si>
    <t xml:space="preserve">Canal IPI/IS (FPM direto) em 2027</t>
  </si>
  <si>
    <t xml:space="preserve">Coluna AC</t>
  </si>
  <si>
    <t xml:space="preserve">Compensação recebida em 2027</t>
  </si>
  <si>
    <t xml:space="preserve">Coluna AD</t>
  </si>
  <si>
    <t xml:space="preserve">Total do canal em 2027</t>
  </si>
  <si>
    <t xml:space="preserve">Coluna AE</t>
  </si>
  <si>
    <t xml:space="preserve">Parcela de Teresina no valor de referência</t>
  </si>
  <si>
    <t xml:space="preserve">Coluna AF</t>
  </si>
  <si>
    <t xml:space="preserve">Descasamento anual vs referência</t>
  </si>
  <si>
    <t xml:space="preserve">Negativo = o ano fecha abaixo da referência</t>
  </si>
  <si>
    <t xml:space="preserve">Descasamento acumulado mínimo (pior ponto de caixa)</t>
  </si>
  <si>
    <t xml:space="preserve">Necessidade máxima de cobertura de caixa</t>
  </si>
  <si>
    <t xml:space="preserve">Mês do pior ponto acumulado</t>
  </si>
  <si>
    <t xml:space="preserve">Pior mês isolado</t>
  </si>
  <si>
    <t xml:space="preserve">Coluna AG</t>
  </si>
  <si>
    <t xml:space="preserve">Mês do pior mês isolado</t>
  </si>
  <si>
    <t xml:space="preserve">Descasamento em jan-fev</t>
  </si>
  <si>
    <t xml:space="preserve">Janela da nota da ASSEF</t>
  </si>
  <si>
    <t xml:space="preserve">Descasamento em mar-abr</t>
  </si>
  <si>
    <t xml:space="preserve">Janela alternativa se a queda do IPI chegar ao caixa em março</t>
  </si>
  <si>
    <t xml:space="preserve">Descasamento no 1º semestre</t>
  </si>
  <si>
    <t xml:space="preserve">Compensação apurada em nov-dez (Teresina, líquido) - fora de 2027</t>
  </si>
  <si>
    <t xml:space="preserve">Receita que só entra em 2028; não deve ser orçada em 2027</t>
  </si>
  <si>
    <t xml:space="preserve">CONTRA O ORÇAMENTO DE TERESINA (PLOA 2027)</t>
  </si>
  <si>
    <t xml:space="preserve">Orçamento do canal IPI/IS (líquido)</t>
  </si>
  <si>
    <t xml:space="preserve">FPM da PLOA municipal x peso do IPI+IS</t>
  </si>
  <si>
    <t xml:space="preserve">Canal direto menos orçamento, no ano (sem compensação)</t>
  </si>
  <si>
    <t xml:space="preserve">Negativo = frustração do FPM sobre IPI/IS frente à PLOA. A PLOA municipal só tem dotação para o canal direto</t>
  </si>
  <si>
    <t xml:space="preserve">Pior ponto acumulado do canal direto frente ao orçamento</t>
  </si>
  <si>
    <t xml:space="preserve">Frustração intra-anual do canal direto, antes de qualquer compensação</t>
  </si>
  <si>
    <t xml:space="preserve">Compensação potencial em 2027, sem dotação na PLOA de Teresina (ano)</t>
  </si>
  <si>
    <t xml:space="preserve">Risco/oportunidade fiscal, não receita prevista. Estimativa interna, sem referência oficial do TCU nem dado individualizado da União; reestimar na execução</t>
  </si>
  <si>
    <t xml:space="preserve">Resultado potencial se a União pagar integralmente (não orçável): canal direto + compensação menos orçamento, no ano</t>
  </si>
  <si>
    <t xml:space="preserve">Informativo. Depende de pagamento integral da União; não deve ser usado como folga orçamentária (CNM, NT 152/2026)</t>
  </si>
  <si>
    <t xml:space="preserve">Descasamento mensal vs referência (R$ mi, líquido do Fundeb)</t>
  </si>
  <si>
    <t xml:space="preserve">Mês</t>
  </si>
  <si>
    <t xml:space="preserve">Cenário A</t>
  </si>
  <si>
    <t xml:space="preserve">Cenário B</t>
  </si>
  <si>
    <t xml:space="preserve">Cenário C</t>
  </si>
  <si>
    <t xml:space="preserve">Acumulado A</t>
  </si>
  <si>
    <t xml:space="preserve">Acumulado B</t>
  </si>
  <si>
    <t xml:space="preserve">Acumulado C</t>
  </si>
  <si>
    <t xml:space="preserve">Caixa líquido do canal IPI/IS + compensação em Teresina, por mês (R$ mi)</t>
  </si>
  <si>
    <t xml:space="preserve">Referência (parcela de Teresina)</t>
  </si>
  <si>
    <t xml:space="preserve">Orçamento (canal IPI/IS)</t>
  </si>
  <si>
    <t xml:space="preserve">PREMISSAS E PARÂMETROS DO MODELO</t>
  </si>
  <si>
    <t xml:space="preserve">Azul = dado de entrada | Preto = fórmula | Verde = vínculo com outra aba | Amarelo = célula para o usuário preencher/validar. Valores monetários em R$ milhões.</t>
  </si>
  <si>
    <t xml:space="preserve">Grupo</t>
  </si>
  <si>
    <t xml:space="preserve">Parâmetro</t>
  </si>
  <si>
    <t xml:space="preserve">Valor</t>
  </si>
  <si>
    <t xml:space="preserve">Unidade</t>
  </si>
  <si>
    <t xml:space="preserve">Fonte / base</t>
  </si>
  <si>
    <t xml:space="preserve">Status</t>
  </si>
  <si>
    <t xml:space="preserve">1. Participação de Teresina no FPM</t>
  </si>
  <si>
    <t xml:space="preserve">Parcela do FPM destinada às capitais</t>
  </si>
  <si>
    <t xml:space="preserve">% do FPM</t>
  </si>
  <si>
    <t xml:space="preserve">CTN art. 91 e LC 62/1989 (10% capitais). Validado pelo usuário em 21/10/2026.</t>
  </si>
  <si>
    <t xml:space="preserve">Validado pelo usuário</t>
  </si>
  <si>
    <t xml:space="preserve">CIFPM de Teresina (fixado por decisão judicial)</t>
  </si>
  <si>
    <t xml:space="preserve">coeficiente</t>
  </si>
  <si>
    <t xml:space="preserve">DN TCU 219/2025, Anexo IV, nota (1): Proc. 1029891-09.2023.4.01.4000 (5ª Vara Federal/PI), TC-030.933/2023-4. Liminar vigente (informação do usuário).</t>
  </si>
  <si>
    <t xml:space="preserve">Documento</t>
  </si>
  <si>
    <t xml:space="preserve">Participação relativa de Teresina no total das capitais</t>
  </si>
  <si>
    <t xml:space="preserve">%</t>
  </si>
  <si>
    <t xml:space="preserve">DN TCU 219/2025, Anexo IV (5,406574%). Hipótese: mantida em 2027 (DN 2027 ainda não publicada).</t>
  </si>
  <si>
    <t xml:space="preserve">Documento / premissa 2027</t>
  </si>
  <si>
    <t xml:space="preserve">Participação de Teresina no FPM total (10% x participação nas capitais)</t>
  </si>
  <si>
    <t xml:space="preserve">% do FPM total</t>
  </si>
  <si>
    <t xml:space="preserve">Cálculo.</t>
  </si>
  <si>
    <t xml:space="preserve">Calculado</t>
  </si>
  <si>
    <t xml:space="preserve">Retenção do Fundeb sobre a parcela de 22,5% do FPM</t>
  </si>
  <si>
    <t xml:space="preserve">CF art. 212-A, II, b (alíneas "a" e "b" do inciso I do art. 159). Não incide sobre as parcelas adicionais de 1% (alíneas d, e, f). Conferido na PLOA de Teresina 2027: dedução = 20% da cota mensal.</t>
  </si>
  <si>
    <t xml:space="preserve">2. Repartição do art. 159, I e II, da CF (percentuais do IR/IPI/IS)</t>
  </si>
  <si>
    <t xml:space="preserve">FPE (art. 159, I, a)</t>
  </si>
  <si>
    <t xml:space="preserve">% da base</t>
  </si>
  <si>
    <t xml:space="preserve">CF art. 159, I, a</t>
  </si>
  <si>
    <t xml:space="preserve">FPM regular (art. 159, I, b) - repasses decendiais</t>
  </si>
  <si>
    <t xml:space="preserve">CF art. 159, I, b</t>
  </si>
  <si>
    <t xml:space="preserve">FPM adicional (alíneas d, e, f: 1% em dezembro, julho e setembro)</t>
  </si>
  <si>
    <t xml:space="preserve">CF art. 159, I, d, e, f; DN TCU 219/2025, Anexo I</t>
  </si>
  <si>
    <t xml:space="preserve">Programas de financiamento (art. 159, I, c)</t>
  </si>
  <si>
    <t xml:space="preserve">CF art. 159, I, c</t>
  </si>
  <si>
    <t xml:space="preserve">Estados exportadores (art. 159, II)</t>
  </si>
  <si>
    <t xml:space="preserve">CF art. 159, II (redação EC 132: IPI e IS)</t>
  </si>
  <si>
    <t xml:space="preserve">Cada parcela adicional do FPM (dez, jul, set)</t>
  </si>
  <si>
    <t xml:space="preserve">CF art. 159, I, d, e, f</t>
  </si>
  <si>
    <t xml:space="preserve">Total repartido (art. 159, I e II)</t>
  </si>
  <si>
    <t xml:space="preserve">Soma.</t>
  </si>
  <si>
    <t xml:space="preserve">Parcelas de repasse regular (exclui adicionais do FPM)</t>
  </si>
  <si>
    <t xml:space="preserve">FPM total (regular + adicionais)</t>
  </si>
  <si>
    <t xml:space="preserve">3. Compensação da União (EC 132, art. 7º; LC 214, arts. 477 a 479)</t>
  </si>
  <si>
    <t xml:space="preserve">Fundo de compensação previsto no PLN 24/2026 (PLOA 2027)</t>
  </si>
  <si>
    <t xml:space="preserve">R$ milhões</t>
  </si>
  <si>
    <t xml:space="preserve">Valor informado pelo usuário (PLN 24/2026). Texto do PLN não consta dos anexos desta conversa.</t>
  </si>
  <si>
    <t xml:space="preserve">Acréscimo sobre a referência (art. 478, I)</t>
  </si>
  <si>
    <t xml:space="preserve">LC 214, art. 478, I (acrescido de 2%)</t>
  </si>
  <si>
    <t xml:space="preserve">Defasagem de entrega da compensação (meses após a apuração)</t>
  </si>
  <si>
    <t xml:space="preserve">meses</t>
  </si>
  <si>
    <t xml:space="preserve">LC 214, art. 477, §2º, II (segundo mês subsequente)</t>
  </si>
  <si>
    <t xml:space="preserve">Limitar a compensação paga em 2027 à dotação do fundo (1 = sim; 0 = não)</t>
  </si>
  <si>
    <t xml:space="preserve">chave</t>
  </si>
  <si>
    <t xml:space="preserve">Por padrão 0: a compensação é obrigação constitucional e a retenção é vedada (LC 214, art. 479, §2º). Usar 1 para testar o risco de dotação insuficiente.</t>
  </si>
  <si>
    <t xml:space="preserve">Premissa - chave de cenário</t>
  </si>
  <si>
    <t xml:space="preserve">Referência anual oficial 2027 (preencher quando houver)</t>
  </si>
  <si>
    <t xml:space="preserve">Campo livre. Se preenchido, substitui qualquer outra referência. Deixar em branco para usar a cadeia abaixo.</t>
  </si>
  <si>
    <t xml:space="preserve">A preencher</t>
  </si>
  <si>
    <t xml:space="preserve">Referência anual adotada (soma dos 12 meses de 2027)</t>
  </si>
  <si>
    <t xml:space="preserve">Ordem de prioridade: (1) valor oficial; (2) cálculo pelo art. 478 com a série histórica da aba Hist_Entrada; (3) referência implícita no PLN 24/2026 (aba Dados_Base).</t>
  </si>
  <si>
    <t xml:space="preserve">Fonte da referência adotada</t>
  </si>
  <si>
    <t xml:space="preserve">texto</t>
  </si>
  <si>
    <t xml:space="preserve">Indica qual elo da cadeia está em uso.</t>
  </si>
  <si>
    <t xml:space="preserve">4. Calendário de caixa (defasagens)</t>
  </si>
  <si>
    <t xml:space="preserve">Fato gerador até o recolhimento (IPI doméstico e IS)</t>
  </si>
  <si>
    <t xml:space="preserve">IPI recolhido no mês seguinte ao fato gerador (validado pelo usuário). Para o IS, ainda sem regra de vencimento no Vault (LC 214, art. 432-433: split payment possível): mesma defasagem por hipótese.</t>
  </si>
  <si>
    <t xml:space="preserve">Validado (IPI) / premissa (IS)</t>
  </si>
  <si>
    <t xml:space="preserve">Parcela do recolhimento do mês entregue no próprio mês</t>
  </si>
  <si>
    <t xml:space="preserve">Observado na base de cálculo da STN e nos créditos de Teresina (2024-2026): o crédito do decêndio d usa a base do decêndio d-1. O recolhimento dos decêndios 1 e 2 (42%) é creditado no mesmo mês (dias 20 e 30); o do 3º decêndio (58%) é creditado no dia 10 do mês seguinte.</t>
  </si>
  <si>
    <t xml:space="preserve">Validado nos dados</t>
  </si>
  <si>
    <t xml:space="preserve">Fração do IPI-importação (2026) entregue com um mês de atraso</t>
  </si>
  <si>
    <t xml:space="preserve">Mesma regra decendial (3º decêndio = 58% da arrecadação). Afeta só dezembro/2026.</t>
  </si>
  <si>
    <t xml:space="preserve">5. Cenários do Imposto Seletivo (fatos geradores com alíquota vigente)</t>
  </si>
  <si>
    <t xml:space="preserve">Cenário</t>
  </si>
  <si>
    <t xml:space="preserve">A - Início em março (lei até ~1º/12/2026)</t>
  </si>
  <si>
    <t xml:space="preserve">B - Início em abril (limite legal: lei em 31/12/2026)</t>
  </si>
  <si>
    <t xml:space="preserve">C - Início em julho (vigência posterior fixada em lei)</t>
  </si>
  <si>
    <t xml:space="preserve">Observação</t>
  </si>
  <si>
    <t xml:space="preserve">Mês do 1º fato gerador do IS em 2027 (1 a 12)</t>
  </si>
  <si>
    <t xml:space="preserve">Anterioridade anual e noventena (CF, art. 150, III, b e c): lei publicada até 31/12/2026 permite cobrança, no máximo, a partir de 1º/04/2027, salvo prazo maior fixado na lei. Início em março exige publicação até cerca de 1º/12/2026. Alíquotas: LC 214, arts. 419-422.</t>
  </si>
  <si>
    <t xml:space="preserve">Meses para atingir o ritmo pleno (1 = imediato)</t>
  </si>
  <si>
    <t xml:space="preserve">Rampa linear a partir do 1º fato gerador.</t>
  </si>
  <si>
    <t xml:space="preserve">Realização do IS em relação ao ritmo da PLOA (%)</t>
  </si>
  <si>
    <t xml:space="preserve">100% = IS anual da PLOA (R$ 42 bi) dividido por 12. Reduzir para testar frustração do IS condicionado (fonte 9201).</t>
  </si>
  <si>
    <t xml:space="preserve">6. Indexadores</t>
  </si>
  <si>
    <t xml:space="preserve">IPCA 2026 - mediana Focus (16/10/2026)</t>
  </si>
  <si>
    <t xml:space="preserve">% a.a.</t>
  </si>
  <si>
    <t xml:space="preserve">Banco Central, Boletim Focus de 16/10/2026 (consulta via ferramenta de dados).</t>
  </si>
  <si>
    <t xml:space="preserve">IPCA 2027 - mediana Focus (16/10/2026)</t>
  </si>
  <si>
    <t xml:space="preserve">Banco Central, Boletim Focus de 16/10/2026.</t>
  </si>
  <si>
    <t xml:space="preserve">DADOS-BASE: LOA 2026, PLOA 2027 (União) E PLOA 2027 DE TERESINA</t>
  </si>
  <si>
    <t xml:space="preserve">R$ milhões. Fontes: extratos da LOA 2026 e do PLOA 2027 (Quadro 3, Anexo I, inciso III) e PLOA 2027 consolidada de Teresina, anexados pelo usuário.</t>
  </si>
  <si>
    <t xml:space="preserve">Item</t>
  </si>
  <si>
    <t xml:space="preserve">Descrição</t>
  </si>
  <si>
    <t xml:space="preserve">Fonte / observação</t>
  </si>
  <si>
    <t xml:space="preserve">A. LOA 2026 - FPM (fonte 1201 e fonte condicionada 9201)</t>
  </si>
  <si>
    <t xml:space="preserve">Fonte 1201 - Transferência constitucional do FPM (total)</t>
  </si>
  <si>
    <t xml:space="preserve">R$ mi</t>
  </si>
  <si>
    <t xml:space="preserve">LOA 2026, Quadro 3, p. 82-83</t>
  </si>
  <si>
    <t xml:space="preserve">Fonte 9201 - FPM condicionado (IRPJ 1.847,25 + IPI 622,20)</t>
  </si>
  <si>
    <t xml:space="preserve">LOA 2026, Quadro 3, p. 85</t>
  </si>
  <si>
    <t xml:space="preserve">Fonte 1201: IPI - Fumo (principal)</t>
  </si>
  <si>
    <t xml:space="preserve">LOA 2026, Quadro 3</t>
  </si>
  <si>
    <t xml:space="preserve">Fonte 1201: IPI - Fumo (multas e juros)</t>
  </si>
  <si>
    <t xml:space="preserve">Fonte 1201: IPI - Bebidas</t>
  </si>
  <si>
    <t xml:space="preserve">Fonte 1201: IPI - Automóveis</t>
  </si>
  <si>
    <t xml:space="preserve">Fonte 1201: IPI - Vinculados à importação (principal)</t>
  </si>
  <si>
    <t xml:space="preserve">Fonte 1201: IPI - Vinculados à importação (multas e juros)</t>
  </si>
  <si>
    <t xml:space="preserve">Fonte 1201: IPI - Outros produtos (principal)</t>
  </si>
  <si>
    <t xml:space="preserve">Fonte 1201: IPI - Outros produtos (multas e juros)</t>
  </si>
  <si>
    <t xml:space="preserve">Fonte 1201: IPI - Outros produtos (dívida ativa)</t>
  </si>
  <si>
    <t xml:space="preserve">Fonte 1201: IPI - Outros produtos (multas da dívida ativa)</t>
  </si>
  <si>
    <t xml:space="preserve">Fonte 1201: IPI - Outros produtos (juros da dívida ativa)</t>
  </si>
  <si>
    <t xml:space="preserve">Fonte 1201: IPI - Bebidas (operações intraorçamentárias)</t>
  </si>
  <si>
    <t xml:space="preserve">Fonte 9201: IPI - Outros produtos (condicionado)</t>
  </si>
  <si>
    <t xml:space="preserve">IPI contido na fonte 1201</t>
  </si>
  <si>
    <t xml:space="preserve">Soma das linhas acima</t>
  </si>
  <si>
    <t xml:space="preserve">IPI no FPM 2026 (1201 + 9201)</t>
  </si>
  <si>
    <t xml:space="preserve">Soma</t>
  </si>
  <si>
    <t xml:space="preserve">Parcela do IPI-importação no IPI da fonte 1201</t>
  </si>
  <si>
    <t xml:space="preserve">IPI-importação (principal e multas/juros) / IPI 1201</t>
  </si>
  <si>
    <t xml:space="preserve">FPM total 2026 (1201 + 9201)</t>
  </si>
  <si>
    <t xml:space="preserve">Arrecadação de IPI implícita em 2026 (base de 100%)</t>
  </si>
  <si>
    <t xml:space="preserve">IPI no FPM / 25,5%</t>
  </si>
  <si>
    <t xml:space="preserve">B. PLOA 2027 (União) - FPM (fonte 1201 e fonte condicionada 9201)</t>
  </si>
  <si>
    <t xml:space="preserve">PLOA 2027, Quadro 3, p. 54</t>
  </si>
  <si>
    <t xml:space="preserve">Fonte 9201 - FPM condicionado (Imposto Seletivo)</t>
  </si>
  <si>
    <t xml:space="preserve">PLOA 2027, Quadro 3, p. 55. Grupo 9 = recursos condicionados (MTO 2026, item 12.1.4.1).</t>
  </si>
  <si>
    <t xml:space="preserve">Fonte 9203 - 10% do IS (Estados exportadores)</t>
  </si>
  <si>
    <t xml:space="preserve">PLOA 2027, Quadro 3, p. 55</t>
  </si>
  <si>
    <t xml:space="preserve">IPI no FPM 2027 (fonte 1201)</t>
  </si>
  <si>
    <t xml:space="preserve">IS no FPM 2027 (fonte 9201)</t>
  </si>
  <si>
    <t xml:space="preserve">Fonte 9201</t>
  </si>
  <si>
    <t xml:space="preserve">FPM total 2027 (1201 + 9201)</t>
  </si>
  <si>
    <t xml:space="preserve">Arrecadação de IPI residual implícita em 2027</t>
  </si>
  <si>
    <t xml:space="preserve">Arrecadação de IS implícita em 2027 (pelo FPM)</t>
  </si>
  <si>
    <t xml:space="preserve">IS no FPM / 25,5%</t>
  </si>
  <si>
    <t xml:space="preserve">Arrecadação de IS implícita (pela fonte 9203)</t>
  </si>
  <si>
    <t xml:space="preserve">IS no art. 159, II / 10% - conferência cruzada</t>
  </si>
  <si>
    <t xml:space="preserve">Diferença entre as duas estimativas de IS</t>
  </si>
  <si>
    <t xml:space="preserve">Deve ser próxima de zero</t>
  </si>
  <si>
    <t xml:space="preserve">Peso do IPI+IS no FPM total de 2027</t>
  </si>
  <si>
    <t xml:space="preserve">Usado para isolar o canal IPI/IS no orçamento de Teresina</t>
  </si>
  <si>
    <t xml:space="preserve">C. PLOA 2027 de Teresina - FPM</t>
  </si>
  <si>
    <t xml:space="preserve">Cota-parte do FPM - valor anual (bruta)</t>
  </si>
  <si>
    <t xml:space="preserve">PLOA Teresina 2027, receita 1.7.1.1.50.1.1</t>
  </si>
  <si>
    <t xml:space="preserve">Cota-parte do FPM - cotas extraordinárias (1% de dez, jul, set) - valor anual</t>
  </si>
  <si>
    <t xml:space="preserve">PLOA Teresina 2027, receita 1.7.1.1.50.2.1</t>
  </si>
  <si>
    <t xml:space="preserve">Dedução do Fundeb sobre a cota (valor anual)</t>
  </si>
  <si>
    <t xml:space="preserve">PLOA Teresina 2027, dedução 9.7.1.1.50.1.1</t>
  </si>
  <si>
    <t xml:space="preserve">FPM bruto previsto em Teresina (2027)</t>
  </si>
  <si>
    <t xml:space="preserve">Conferência: dedução anual / cota anual</t>
  </si>
  <si>
    <t xml:space="preserve">Deve ser igual ao percentual do Fundeb (20%). Prova que as cotas extraordinárias não sofrem dedução.</t>
  </si>
  <si>
    <t xml:space="preserve">FPM 2027 de Teresina implícito na PLOA federal (FPM total x participação)</t>
  </si>
  <si>
    <t xml:space="preserve">Premissa de participação de 0,5407%</t>
  </si>
  <si>
    <t xml:space="preserve">Diferença: PLOA de Teresina menos implícito federal</t>
  </si>
  <si>
    <t xml:space="preserve">ALERTA: previsão municipal acima da participação teórica; verificar com a série realizada do FPM.</t>
  </si>
  <si>
    <t xml:space="preserve">Diferença em %</t>
  </si>
  <si>
    <t xml:space="preserve">Idem</t>
  </si>
  <si>
    <t xml:space="preserve">D. Referência implícita no PLN 24/2026</t>
  </si>
  <si>
    <t xml:space="preserve">Valor entregue em 2027 pela PLOA (art. 159, I e II) sobre IPI residual + IS</t>
  </si>
  <si>
    <t xml:space="preserve">Parcelas de 60% sobre a arrecadação implícita</t>
  </si>
  <si>
    <t xml:space="preserve">Referência anual implícita (fundo + valor entregue)</t>
  </si>
  <si>
    <t xml:space="preserve">Hipótese: o fundo do PLN cobre 12 apurações mensais. Se cobrir só as pagas em 2027 (10 meses), a referência é menor. Provisória até o valor oficial.</t>
  </si>
  <si>
    <t xml:space="preserve">Referência mensal média implícita</t>
  </si>
  <si>
    <t xml:space="preserve">Média</t>
  </si>
  <si>
    <t xml:space="preserve">E. Dados da rodada 2 (RFB ago/2026 e PLOA 2027 da União, Volume 1)</t>
  </si>
  <si>
    <t xml:space="preserve">IPI total arrecadado jan-ago/2026 (RFB)</t>
  </si>
  <si>
    <t xml:space="preserve">RFB, Análise da Arrecadação ago/2026, Tabela II (+13,1% nominal sobre jan-ago/2025: 56.031)</t>
  </si>
  <si>
    <t xml:space="preserve">IPI total arrecadado em ago/2026 (RFB)</t>
  </si>
  <si>
    <t xml:space="preserve">Idem. Alta de 33,7% sobre ago/2025, puxada pelo IPI-Fumo (+154%): verificar antecipação de fato gerador antes do fim do IPI</t>
  </si>
  <si>
    <t xml:space="preserve">IPI 2026 na PLOA 2027 (estimativa do ano)</t>
  </si>
  <si>
    <t xml:space="preserve">PLOA 2027 Vol. 1, quadro de receitas (I.1.2)</t>
  </si>
  <si>
    <t xml:space="preserve">IPI 2027 na PLOA 2027</t>
  </si>
  <si>
    <t xml:space="preserve">Idem; coerente com o IPI residual implícito no FPM (aba, bloco B)</t>
  </si>
  <si>
    <t xml:space="preserve">Imposto Seletivo 2027 na PLOA (fonte 9000 = 16.798,5 + repartição 25.197,8)</t>
  </si>
  <si>
    <t xml:space="preserve">PLOA 2027 Vol. 1; 60% do IS (25.197,8) é repartido: 9201 10.709,1; 9202 9.029,2; 9203 4.199,6; demais fontes 9xxx</t>
  </si>
  <si>
    <t xml:space="preserve">Ação 0909-00YB 'Compensação pela Substituição do IPI pelo IS' (LC 214, arts. 477-479)</t>
  </si>
  <si>
    <t xml:space="preserve">PLOA 2027 Vol. 1, programa 0909, GND 3, modalidade 90, fonte 9444 (títulos do Tesouro)</t>
  </si>
  <si>
    <t xml:space="preserve">Fundo de Compensação aos Estados pela substituição do IPI pelo IS (Quadro 10-A)</t>
  </si>
  <si>
    <t xml:space="preserve">Despesa fora dos limites da LC 200/2023 (33.777,6)</t>
  </si>
  <si>
    <t xml:space="preserve">Diferença entre o fundo (Quadro 10-A) e a ação 00YB</t>
  </si>
  <si>
    <t xml:space="preserve">ALERTA: R$ 10.279 mi sem explicação nos documentos recebidos. Pode ser parcela repassada por outra ação, ou ajuste de calendário. Pedir a memória de cálculo à SOF.</t>
  </si>
  <si>
    <t xml:space="preserve">Referência anual 2027 pela lei (aba Hist_Entrada, proxy)</t>
  </si>
  <si>
    <t xml:space="preserve">Média de 2022-2026 corrigida pela variação do IPI, IPCA e +2%</t>
  </si>
  <si>
    <t xml:space="preserve">Referência anual pela lei / implícita no fundo</t>
  </si>
  <si>
    <t xml:space="preserve">Teste de consistência: perto de zero indica que o fundo cobre 12 apurações</t>
  </si>
  <si>
    <t xml:space="preserve">F. Fluxo realizado do FPM de Teresina e conferência do coeficiente (rodada 3)</t>
  </si>
  <si>
    <t xml:space="preserve">Coeficiente efetivo 2026 = crédito líquido do decêndio / base (IR+IPI) do decêndio anterior</t>
  </si>
  <si>
    <t xml:space="preserve">fração</t>
  </si>
  <si>
    <t xml:space="preserve">Base de cálculo STN x FPM Teresina (Tesouro Transparente). Constante em todos os decêndios de 2026 (desvio nulo)</t>
  </si>
  <si>
    <t xml:space="preserve">Participação de Teresina no FPM total implícita (coef. / (22,5% x 80%))</t>
  </si>
  <si>
    <t xml:space="preserve">Compara com 0,5407% (DN TCU 219/2025). Confirma a premissa e que o valor do Tesouro Transparente é líquido do Fundeb</t>
  </si>
  <si>
    <t xml:space="preserve">Diferença para a premissa s_T</t>
  </si>
  <si>
    <t xml:space="preserve">p.p.</t>
  </si>
  <si>
    <t xml:space="preserve">Praticamente zero</t>
  </si>
  <si>
    <t xml:space="preserve">FPM bruto de Teresina em 2025 - total do ano</t>
  </si>
  <si>
    <t xml:space="preserve">Crédito líquido / 0,8 (Consolidado_FPM_Teresina)</t>
  </si>
  <si>
    <t xml:space="preserve">FPM de Teresina em 2025 - cotas de 1% (jul, set, dez)</t>
  </si>
  <si>
    <t xml:space="preserve">Linhas 'FPM 1%' (49,43 + 42,27 + 51,02)</t>
  </si>
  <si>
    <t xml:space="preserve">FPM bruto de Teresina em 2026 - soma cota mensal (jan-set realizado; out-dez projetado)</t>
  </si>
  <si>
    <t xml:space="preserve">Out-dez/2025 x 1,091 (variação jan-set 2026/2025)</t>
  </si>
  <si>
    <t xml:space="preserve">FPM de Teresina em 2026 - cotas de 1% (jul e set realizados; dez estimado)</t>
  </si>
  <si>
    <t xml:space="preserve">53,78 + 54,57 + 56,0 (dez estimado)</t>
  </si>
  <si>
    <t xml:space="preserve">FPM bruto de Teresina em 2026 (estimado)</t>
  </si>
  <si>
    <t xml:space="preserve">PLOA 2027 de Teresina / estimativa de 2026</t>
  </si>
  <si>
    <t xml:space="preserve">ALERTA: a PLOA pressupõe crescimento de cerca de 7% sobre 2026, enquanto a PLOA da União projeta FPM total 2027 apenas 0,5% acima da LOA 2026. Risco de frustração independente do IPI/IS</t>
  </si>
  <si>
    <t xml:space="preserve">Excesso da PLOA 2027 de Teresina sobre 2026 corrigido pela PLOA federal (+0,46%)</t>
  </si>
  <si>
    <t xml:space="preserve">Bruto, antes do Fundeb sobre a cota mensal</t>
  </si>
  <si>
    <t xml:space="preserve">SÉRIES HISTÓRICAS PARA PREENCHIMENTO (SAZONALIDADE E REFERÊNCIA DO ART. 478)</t>
  </si>
  <si>
    <t xml:space="preserve">Séries atualizadas com os arquivos enviados (RFB e detalhamento do FPM de Teresina, só 2024). Células amarelas: substituir por dados efetivos quando houver; anos incompletos não entram nos pesos.</t>
  </si>
  <si>
    <t xml:space="preserve">A. FPM de Teresina - cota mensal (22,5%), valor BRUTO por mês de crédito (R$ mi) = crédito líquido do Tesouro Transparente / 0,8, sem as cotas extraordinárias.</t>
  </si>
  <si>
    <t xml:space="preserve">Ano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</si>
  <si>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</si>
  <si>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</si>
  <si>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</si>
  <si>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</si>
  <si>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</si>
  <si>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</si>
  <si>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</si>
  <si>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</si>
  <si>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</si>
  <si>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</si>
  <si>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</si>
  <si>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</si>
  <si>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</t>
  </si>
  <si>
    <t xml:space="preserve">Participação de cada mês no ano (calculada apenas para anos completos)</t>
  </si>
  <si>
    <t xml:space="preserve">Média dos anos</t>
  </si>
  <si>
    <t xml:space="preserve">Peso mensal adotado</t>
  </si>
  <si>
    <t xml:space="preserve">B. Índice sazonal do fato gerador do IPI doméstico (1,00 = média). Opcional: derivar da arrecadação mensal de IPI (RFB).</t>
  </si>
  <si>
    <t xml:space="preserve">Índice informado</t>
  </si>
  <si>
    <t xml:space="preserve">Índice normalizado</t>
  </si>
  <si>
    <t xml:space="preserve">C. IPI efetivamente entregue em 2022-2026 (art. 159, I e II, da CF) - base do valor de referência (LC 214, art. 478, §1º)</t>
  </si>
  <si>
    <t xml:space="preserve">IPI entregue (R$ mi nominais)</t>
  </si>
  <si>
    <t xml:space="preserve">Fator de correção a preços de 2026 (variação da arrecadação do IPI)</t>
  </si>
  <si>
    <t xml:space="preserve">Valor corrigido (R$ mi)</t>
  </si>
  <si>
    <t xml:space="preserve">Valor médio mensal a preços de 2026 (soma dos 5 anos corrigidos / 60)</t>
  </si>
  <si>
    <t xml:space="preserve">Exemplo de preenchimento (apenas ilustrativo, não usado): FPM de Teresina em jan/2025 = 98,50 na célula C do ano 2025, Jan.</t>
  </si>
  <si>
    <t xml:space="preserve">Quadro A: Tesouro Transparente já publica o FPM líquido dos 20% do Fundeb (informação do usuário); a divisão por 0,8 recompõe o bruto. Em 2022-2024 as cotas de jul e dez vinham somadas ao 1º decêndio e foram separadas pelo coeficiente observado. A linha de 2023 normaliza três decêndios com coeficiente reduzido (jan d1-d2 e jul d2-ago d1, cerca de 34% abaixo do normal). 2026 tem dados de jan a set; out a dez ficam em branco e o ano não entra nos pesos.</t>
  </si>
  <si>
    <t xml:space="preserve">Quadro B: índice por mês do FATO GERADOR = índice de arrecadação do IPI do mês seguinte (média 2022-2025 da base de cálculo da STN), pois o IPI é recolhido no mês seguinte ao fato gerador.</t>
  </si>
  <si>
    <t xml:space="preserve">Quadro C: IPI efetivamente entregue em cada ano, calculado a partir da base de cálculo das transferências (STN) pela regra que o FPM de Teresina confirmou: crédito do decêndio d = coeficiente x base do decêndio d-1. IPI entregue = 57% do IPI do decêndio anterior (FPE 21,5 + FPM 22,5 + fundos 3 + IPI-exportação 10) mais 1% da base dos 12 meses anteriores em jul, set e dez (set só a partir de 2025, com 10/12 no 1º ano). Fator = IPI arrecadado de 2026 (jan-ago realizado + set-dez projetado com a variação acumulada de 15,3%) / IPI do ano. Dez/2021 estimado pela RFB x 0,94.</t>
  </si>
  <si>
    <t xml:space="preserve">IPCA MENSAL E ÍNDICE (BASE DEZ/2025 = 100)</t>
  </si>
  <si>
    <t xml:space="preserve">Janeiro a setembro/2026: realizado (BCB/SGS série 433). Outubro a dezembro/2026: rateio do IPCA anual do Focus. 2027: Focus distribuído geometricamente.</t>
  </si>
  <si>
    <t xml:space="preserve">IPCA mensal</t>
  </si>
  <si>
    <t xml:space="preserve">Natureza</t>
  </si>
  <si>
    <t xml:space="preserve">Índice</t>
  </si>
  <si>
    <t xml:space="preserve">Resumo</t>
  </si>
  <si>
    <t xml:space="preserve">Índice médio de 2026</t>
  </si>
  <si>
    <t xml:space="preserve">Realizado (BCB)</t>
  </si>
  <si>
    <t xml:space="preserve">Soma dos índices de 2027</t>
  </si>
  <si>
    <t xml:space="preserve">Referência anual pelo art. 478 (se série preenchida)</t>
  </si>
  <si>
    <t xml:space="preserve">Conferência: IPCA acumulado 2026</t>
  </si>
  <si>
    <t xml:space="preserve">Projeção (Focus)</t>
  </si>
  <si>
    <t xml:space="preserve">CÁLCULO MENSAL - CENÁRIO A DO IMPOSTO SELETIVO</t>
  </si>
  <si>
    <t xml:space="preserve">R$ milhões. Linhas de 2026 são apoio (pré-reforma). Compensação apurada em nov-dez/2027 só é paga em 2028 (art. 477, §2º, II).</t>
  </si>
  <si>
    <t xml:space="preserve">Mês do 1º fato gerador do IS</t>
  </si>
  <si>
    <t xml:space="preserve">Meses até ritmo pleno</t>
  </si>
  <si>
    <t xml:space="preserve">Realização do IS</t>
  </si>
  <si>
    <t xml:space="preserve">Mês nº</t>
  </si>
  <si>
    <t xml:space="preserve">Seq.</t>
  </si>
  <si>
    <t xml:space="preserve">Fato gerador IPI doméstico</t>
  </si>
  <si>
    <t xml:space="preserve">Fato gerador IPI importação</t>
  </si>
  <si>
    <t xml:space="preserve">Fato gerador IS</t>
  </si>
  <si>
    <t xml:space="preserve">Recolhimento IPI doméstico</t>
  </si>
  <si>
    <t xml:space="preserve">Recolhimento IPI importação</t>
  </si>
  <si>
    <t xml:space="preserve">Recolhimento IS</t>
  </si>
  <si>
    <t xml:space="preserve">Entregue ao fundo: IPI</t>
  </si>
  <si>
    <t xml:space="preserve">Entregue ao fundo: IS</t>
  </si>
  <si>
    <t xml:space="preserve">Base entregue (IPI+IS)</t>
  </si>
  <si>
    <t xml:space="preserve">Repasses regulares (57%)</t>
  </si>
  <si>
    <t xml:space="preserve">Parcelas adicionais do FPM (1%)</t>
  </si>
  <si>
    <t xml:space="preserve">Valor entregue D (art. 477, §1º, II)</t>
  </si>
  <si>
    <t xml:space="preserve">Valor de referência R (art. 478)</t>
  </si>
  <si>
    <t xml:space="preserve">R - D</t>
  </si>
  <si>
    <t xml:space="preserve">Saldo negativo anterior</t>
  </si>
  <si>
    <t xml:space="preserve">Apuração ajustada</t>
  </si>
  <si>
    <t xml:space="preserve">Compensação positiva apurada</t>
  </si>
  <si>
    <t xml:space="preserve">Compensação paga no mês (m+2)</t>
  </si>
  <si>
    <t xml:space="preserve">Fluxo total aos fundos (D + compensação)</t>
  </si>
  <si>
    <t xml:space="preserve">Teresina: FPM bruto regular (IPI/IS)</t>
  </si>
  <si>
    <t xml:space="preserve">Teresina: FPM adicional (1%)</t>
  </si>
  <si>
    <t xml:space="preserve">Teresina: compensação bruta (22,5%)</t>
  </si>
  <si>
    <t xml:space="preserve">Teresina: compensação bruta (adicionais)</t>
  </si>
  <si>
    <t xml:space="preserve">Teresina: retenção Fundeb</t>
  </si>
  <si>
    <t xml:space="preserve">Teresina: canal IPI/IS líquido</t>
  </si>
  <si>
    <t xml:space="preserve">Teresina: compensação líquida</t>
  </si>
  <si>
    <t xml:space="preserve">Teresina: total líquido do canal</t>
  </si>
  <si>
    <t xml:space="preserve">Teresina: referência líquida (parcela do valor de referência)</t>
  </si>
  <si>
    <t xml:space="preserve">Descasamento vs referência</t>
  </si>
  <si>
    <t xml:space="preserve">Descasamento acumulado</t>
  </si>
  <si>
    <t xml:space="preserve">Orçamento de Teresina: canal IPI/IS líquido</t>
  </si>
  <si>
    <t xml:space="preserve">Canal direto menos orçamento (sem compensação)</t>
  </si>
  <si>
    <t xml:space="preserve">Canal direto menos orçamento, acumulado</t>
  </si>
  <si>
    <t xml:space="preserve">Total 2027</t>
  </si>
  <si>
    <t xml:space="preserve">CÁLCULO MENSAL - CENÁRIO B DO IMPOSTO SELETIVO</t>
  </si>
  <si>
    <t xml:space="preserve">CÁLCULO MENSAL - CENÁRIO C DO IMPOSTO SELETIVO</t>
  </si>
  <si>
    <t xml:space="preserve">REPLICAÇÃO DA NOTA TÉCNICA DA ASSEF/PI E MÉTODO SIMPLIFICADO ADAPTADO A TERESINA</t>
  </si>
  <si>
    <t xml:space="preserve">Serve de ponte entre a nota do Estado e o modelo mensal. R$ milhões.</t>
  </si>
  <si>
    <t xml:space="preserve">1. Dados da nota da ASSEF (Piauí)</t>
  </si>
  <si>
    <t xml:space="preserve">a</t>
  </si>
  <si>
    <t xml:space="preserve">Previsão FPE 2027 (IPI+IS, líquido do Fundeb)</t>
  </si>
  <si>
    <t xml:space="preserve">b</t>
  </si>
  <si>
    <t xml:space="preserve">Previsão FPE 2026 (IPI, líquido do Fundeb)</t>
  </si>
  <si>
    <t xml:space="preserve">c</t>
  </si>
  <si>
    <t xml:space="preserve">Participação do PI no FPE (DN TCU 221/2026)</t>
  </si>
  <si>
    <t xml:space="preserve">e</t>
  </si>
  <si>
    <t xml:space="preserve">Previsão IPI-Ex + IS-Ex 2027</t>
  </si>
  <si>
    <t xml:space="preserve">f</t>
  </si>
  <si>
    <t xml:space="preserve">Previsão IPI-Ex 2026</t>
  </si>
  <si>
    <t xml:space="preserve">g</t>
  </si>
  <si>
    <t xml:space="preserve">Participação do PI no IPI-Ex (DN TCU 222/2026)</t>
  </si>
  <si>
    <t xml:space="preserve">is_fpe</t>
  </si>
  <si>
    <t xml:space="preserve">Repasse de IS ao FPE em 2027</t>
  </si>
  <si>
    <t xml:space="preserve">is_ex</t>
  </si>
  <si>
    <t xml:space="preserve">Repasse de IS ao IS-Ex em 2027</t>
  </si>
  <si>
    <t xml:space="preserve">2. Recálculo das tabelas da ASSEF</t>
  </si>
  <si>
    <t xml:space="preserve">Ref.</t>
  </si>
  <si>
    <t xml:space="preserve">Nota da ASSEF</t>
  </si>
  <si>
    <t xml:space="preserve">Recalculado</t>
  </si>
  <si>
    <t xml:space="preserve">T1d</t>
  </si>
  <si>
    <t xml:space="preserve">Tabela 1: perda de FPE do PI (anual)</t>
  </si>
  <si>
    <t xml:space="preserve">T1h</t>
  </si>
  <si>
    <t xml:space="preserve">Tabela 1: perda de IPI-Ex/IS-Ex do PI (anual)</t>
  </si>
  <si>
    <t xml:space="preserve">T1i</t>
  </si>
  <si>
    <t xml:space="preserve">Tabela 1: perda total (anual)</t>
  </si>
  <si>
    <t xml:space="preserve">T1k</t>
  </si>
  <si>
    <t xml:space="preserve">Tabela 1: Jan+Fev (2 x anual/12)</t>
  </si>
  <si>
    <t xml:space="preserve">T2d</t>
  </si>
  <si>
    <t xml:space="preserve">Tabela 2: IS ausente em Jan+Fev - FPE do PI</t>
  </si>
  <si>
    <t xml:space="preserve">T2h</t>
  </si>
  <si>
    <t xml:space="preserve">Tabela 2: IS ausente em Jan+Fev - IS-Ex do PI</t>
  </si>
  <si>
    <t xml:space="preserve">T2i</t>
  </si>
  <si>
    <t xml:space="preserve">Tabela 2: perda em Jan+Fev (soma de dois meses)</t>
  </si>
  <si>
    <t xml:space="preserve">Este valor JÁ é de dois meses.</t>
  </si>
  <si>
    <t xml:space="preserve">T2k</t>
  </si>
  <si>
    <t xml:space="preserve">Tabela 2: valor que a ASSEF levou à Tabela 3 (divide por 12 e multiplica por 2)</t>
  </si>
  <si>
    <t xml:space="preserve">ERRO da nota: a divisão por 12 é aplicada a um valor bimestral.</t>
  </si>
  <si>
    <t xml:space="preserve">T3a</t>
  </si>
  <si>
    <t xml:space="preserve">Tabela 3: total Jan+Fev com o erro da Tabela 2</t>
  </si>
  <si>
    <t xml:space="preserve">A nota registra 75,40 porque soma 32,38 + 4,32 como 37,70 (correto: 36,70). Pela própria metodologia seriam 73,40.</t>
  </si>
  <si>
    <t xml:space="preserve">T3b</t>
  </si>
  <si>
    <t xml:space="preserve">Tabela 3: total Jan+Fev corrigido</t>
  </si>
  <si>
    <t xml:space="preserve">-</t>
  </si>
  <si>
    <t xml:space="preserve">Correção: usar o valor bimestral da Tabela 2 sem nova divisão.</t>
  </si>
  <si>
    <t xml:space="preserve">3. Método simplificado da ASSEF adaptado ao FPM de Teresina</t>
  </si>
  <si>
    <t xml:space="preserve">FPM 2026: componente IPI (bruto, todos os municípios)</t>
  </si>
  <si>
    <t xml:space="preserve">FPM 2027: componente IPI + IS (bruto)</t>
  </si>
  <si>
    <t xml:space="preserve">Variação nacional do componente (b - a)</t>
  </si>
  <si>
    <t xml:space="preserve">d</t>
  </si>
  <si>
    <t xml:space="preserve">Participação de Teresina no FPM total</t>
  </si>
  <si>
    <t xml:space="preserve">Fator líquido de Fundeb (retenção só sobre os 22,5%)</t>
  </si>
  <si>
    <t xml:space="preserve">A nota da ASSEF aplica 80% integral ao FPE; no FPM as parcelas adicionais não sofrem retenção.</t>
  </si>
  <si>
    <t xml:space="preserve">Perda anual de Teresina (líquida)</t>
  </si>
  <si>
    <t xml:space="preserve">Perda por transição em Jan+Fev (2/12)</t>
  </si>
  <si>
    <t xml:space="preserve">h</t>
  </si>
  <si>
    <t xml:space="preserve">IS ausente em Jan+Fev (IS anual no FPM x 2/12, líquido)</t>
  </si>
  <si>
    <t xml:space="preserve">Já bimestral. Não dividir de novo.</t>
  </si>
  <si>
    <t xml:space="preserve">i</t>
  </si>
  <si>
    <t xml:space="preserve">Total Jan+Fev pelo método simplificado</t>
  </si>
  <si>
    <t xml:space="preserve">j</t>
  </si>
  <si>
    <t xml:space="preserve">Compensação anual de Teresina (fundo do PLN, parcela do FPM, líquida)</t>
  </si>
  <si>
    <t xml:space="preserve">Ordem de grandeza; a distribuição segue o art. 159 (FPM = 25,5/60).</t>
  </si>
  <si>
    <t xml:space="preserve">NOTAS EXPLICATIVAS</t>
  </si>
  <si>
    <t xml:space="preserve">Nº</t>
  </si>
  <si>
    <t xml:space="preserve">Tema</t>
  </si>
  <si>
    <t xml:space="preserve">Nota</t>
  </si>
  <si>
    <t xml:space="preserve">1</t>
  </si>
  <si>
    <t xml:space="preserve">Finalidade</t>
  </si>
  <si>
    <t xml:space="preserve">Estimar mês a mês, para 2027, o efeito da substituição do IPI pelo Imposto Seletivo (IS) sobre o FPM de Teresina, incluindo a compensação da União (EC 132, art. 7º; LC 214, arts. 477 a 479), em três cenários de início do IS. O foco é o risco de caixa intra-anual e de frustração de receita.</t>
  </si>
  <si>
    <t xml:space="preserve">2</t>
  </si>
  <si>
    <t xml:space="preserve">Estrutura</t>
  </si>
  <si>
    <t xml:space="preserve">Premissas (parâmetros) -&gt; Dados_Base (LOA 2026, PLOA 2027, PLOA de Teresina) -&gt; Hist_Entrada e IPCA (séries) -&gt; Calc_A, Calc_B, Calc_C (motor mensal) -&gt; Resultados. Ref_ASSEF reproduz a nota do Estado e liga o método simplificado ao modelo.</t>
  </si>
  <si>
    <t xml:space="preserve">3</t>
  </si>
  <si>
    <t xml:space="preserve">Cadeia de cálculo</t>
  </si>
  <si>
    <t xml:space="preserve">Fato gerador (IPI doméstico, IPI importação, IS) -&gt; recolhimento (defasagem lag_rec) -&gt; entrega aos fundos (42% no mês do recolhimento e 58% no mês seguinte, parâmetro sh_same) -&gt; valor entregue D = 57% da base nos repasses regulares + 1% da base acumulada de 12 meses em jul, set e dez (parcelas adicionais do FPM). A compensação é apurada por mês: R - D, com saldo negativo abatido na apuração seguinte e saldo positivo pago dois meses depois (art. 477, §§1º-3º).</t>
  </si>
  <si>
    <t xml:space="preserve">4</t>
  </si>
  <si>
    <t xml:space="preserve">Valor de referência R</t>
  </si>
  <si>
    <t xml:space="preserve">Pela lei (art. 478), R é a média mensal de 2022 a 2026 do IPI entregue, em preços de 2026, corrigida pelo IPCA do mês e acrescida de 2%. Nesta versão, R é calculada com o IPI total arrecadado (RFB, 1994-2025 e jan-ago/2026) tomando como entregue 60% do IPI de dez(y-1) a nov(y), corrigido pela variação da arrecadação do IPI e depois pelo IPCA e 2%. O resultado é conferido contra a referência implícita no fundo do PLN (R$ 33.777,6 mi + valor entregue sobre IPI residual e IS), que é a segunda opção. Prioridade: (1) valor oficial do TCU na aba Premissas; (2) art. 478 com a série; (3) implícita. Substituir o proxy pelos valores efetivamente entregues quando disponíveis.</t>
  </si>
  <si>
    <t xml:space="preserve">5</t>
  </si>
  <si>
    <t xml:space="preserve">Repartição da compensação</t>
  </si>
  <si>
    <t xml:space="preserve">A compensação segue os mesmos critérios do art. 159, I e II (art. 479 e EC 132, art. 7º, §1º, II). Assim, a parcela do FPM é 25,5/60 do total (42,5%); desse montante, 22,5/60 sofre retenção de 20% do Fundeb (EC 132, art. 7º, §2º, e CF, art. 212-A, II) e 3/60 (adicionais) não. Teresina recebe 0,5407% do FPM total (10% x 5,406574%).</t>
  </si>
  <si>
    <t xml:space="preserve">6</t>
  </si>
  <si>
    <t xml:space="preserve">Fundeb</t>
  </si>
  <si>
    <t xml:space="preserve">A PLOA de Teresina deduz 20% apenas das cotas ordinárias (R$ 270,094 mi sobre R$ 1.350,471 mi); as cotas extraordinárias (R$ 173,639 mi) não sofrem dedução. O modelo replica essa regra. Todos os resultados estão líquidos do Fundeb; os efeitos de segunda ordem sobre a receita do Fundeb recebida (menor fundo, menor retorno) não estão modelados.</t>
  </si>
  <si>
    <t xml:space="preserve">7</t>
  </si>
  <si>
    <t xml:space="preserve">Fonte 9 (recursos condicionados)</t>
  </si>
  <si>
    <t xml:space="preserve">O MTO 2026 (item 12.1.4.1) define o grupo 9 como recursos que dependem de proposta legislativa em tramitação; só com a aprovação passam ao grupo 1. Na PLOA 2027, o IS que compõe o FPM está na fonte 9201 (R$ 10.709 mi), espelho da fonte 1201 (FPM). Logo, todo o IS orçado é condicionado e não apenas o seu início: a nota técnica deve tratar o IS como risco de frustração do ano inteiro. O parâmetro 'Realização do IS' permite testar cortes.</t>
  </si>
  <si>
    <t xml:space="preserve">8</t>
  </si>
  <si>
    <t xml:space="preserve">Cenários do IS</t>
  </si>
  <si>
    <t xml:space="preserve">A = primeiro fato gerador em março (exige lei publicada até cerca de 1º/12/2026, por causa da noventena); B = 1º de abril (limite legal: lei publicada em 31/12/2026 cumpre a anterioridade em 1º/01/2027 e a noventena cerca de 90 dias depois); C = julho (só ocorre se a lei fixar vigência posterior). Premissa: o IS é instituído por lei publicada em 2026 (CF, art. 150, III, b e c; alíquotas em LC 214, arts. 419 a 422). Ritmo pleno = IS anual da PLOA (R$ 42 bi) / 12, o mesmo rateio equitativo adotado na nota da ASSEF.</t>
  </si>
  <si>
    <t xml:space="preserve">9</t>
  </si>
  <si>
    <t xml:space="preserve">Calendário de caixa</t>
  </si>
  <si>
    <t xml:space="preserve">Validado nos dados. (i) IPI doméstico é recolhido no mês seguinte ao fato gerador. (ii) O crédito do FPM em cada decêndio é um coeficiente fixo sobre a base (IR+IPI) do decêndio anterior (desvio nulo em 2022, 2024, 2025 e 2026): o 1º decêndio de crédito usa o 3º do mês anterior, o 2º usa o 1º e o 3º usa o 2º. (iii) O 3º decêndio responde por 58% da arrecadação mensal de IPI (mínimo 42%, máximo 70%), logo 42% do IPI recolhido em um mês é creditado no próprio mês e 58% no seguinte. Assim a queda do FPM por falta de IPI começa em janeiro/2027, com o IPI de dezembro/2026 ainda creditado em parte em janeiro e fev/2027 sentindo a maior parte da perda.</t>
  </si>
  <si>
    <t xml:space="preserve">10</t>
  </si>
  <si>
    <t xml:space="preserve">IPI em 2027</t>
  </si>
  <si>
    <t xml:space="preserve">Residual da PLOA: R$ 1.401,8 mi no FPM (cerca de R$ 5,5 bi de arrecadação). O modelo trata esse IPI como doméstico e distribuído uniformemente (ou pelo índice sazonal da aba Hist_Entrada). O IPI-importação principal é zero em 2027 na PLOA.</t>
  </si>
  <si>
    <t xml:space="preserve">11</t>
  </si>
  <si>
    <t xml:space="preserve">Sazonalidade</t>
  </si>
  <si>
    <t xml:space="preserve">Os pesos mensais do FPM de Teresina (quadro A) alimentam a comparação com o orçamento. Os pesos usam a média dos anos completos (2022 a 2025), com a série reconstruída a partir do Tesouro Transparente (líquido de Fundeb, dividido por 0,8). 2026 tem dados até setembro. O índice sazonal do IPI (quadro B) usa a base de cálculo da STN, 2022-2025, deslocada um mês para o fato gerador.</t>
  </si>
  <si>
    <t xml:space="preserve">12</t>
  </si>
  <si>
    <t xml:space="preserve">Parcelas adicionais (1%)</t>
  </si>
  <si>
    <t xml:space="preserve">Cada adicional de dez, jul e set equivale a 1% da base acumulada dos 12 meses anteriores. É uma simplificação: a apuração real segue a janela fixada nas ECs 55, 84 e 112. Como a referência R é plana e D tem picos nesses meses, a apuração tende a ficar negativa em jul, set e dez, o que é abatido nos meses seguintes.</t>
  </si>
  <si>
    <t xml:space="preserve">13</t>
  </si>
  <si>
    <t xml:space="preserve">Dotação do fundo</t>
  </si>
  <si>
    <t xml:space="preserve">Apurações de nov e dez/2027 só são pagas em jan e fev/2028 (art. 477, §2º, II). O caixa de 2027 inclui no máximo dez apurações. A aba Resultados compara a apuração de 12 meses com o fundo do PLN e mostra quanto do cronograma de caixa de 2027 excede a dotação. A chave cap_on (Premissas) limita a compensação paga à dotação, para testar o risco de insuficiência.</t>
  </si>
  <si>
    <t xml:space="preserve">14</t>
  </si>
  <si>
    <t xml:space="preserve">Comparação com o orçamento de Teresina</t>
  </si>
  <si>
    <t xml:space="preserve">Orçamento do canal = FPM da PLOA municipal x peso do IPI+IS no FPM federal (4,6%), distribuído pelos pesos sazonais. A PLOA municipal (R$ 1.524,1 mi) está cerca de 7% acima da participação teórica (R$ 1.419,4 mi). A causa não foi identificada (base realizada de 2026, participação distinta ou outra premissa). Verificar com a série realizada. A compensação não tem linha própria na PLOA municipal; por isso o gap compara o canal direto com o orçamento, e a compensação aparece em linha separada, como risco/oportunidade fiscal e não como receita orçada (ver nota 25).</t>
  </si>
  <si>
    <t xml:space="preserve">15</t>
  </si>
  <si>
    <t xml:space="preserve">Risco da liminar do CIFPM</t>
  </si>
  <si>
    <t xml:space="preserve">A participação de 5,406574% decorre de decisão judicial (DN 219/2025, Anexo IV, nota 1). Sem ela, o coeficiente seria 4,0 (fator população 2,0 x fator renda 2,0) e a participação cairia para cerca de 3,53%. O usuário informou que a liminar está vigente e o risco de queda é baixo; a nota técnica deve registrar o risco em seção própria.</t>
  </si>
  <si>
    <t xml:space="preserve">16</t>
  </si>
  <si>
    <t xml:space="preserve">Correção da nota da ASSEF</t>
  </si>
  <si>
    <t xml:space="preserve">A Tabela 2 da nota divide por 12 e multiplica por 2 um valor que já cobre dois meses. Além disso, a Tabela 3 soma 32,38 + 4,32 e registra 37,70 (o correto é 36,70), o que explica o total de R$ 75,40 mi (R$ 73,40 mi pela própria metodologia da nota). Corrigido o erro da Tabela 2, o total do Piauí em jan-fev é de R$ 116,58 mi (aba Ref_ASSEF). A ementa cita queda de R$ 87 mi por mês, valor que não consta das tabelas.</t>
  </si>
  <si>
    <t xml:space="preserve">17</t>
  </si>
  <si>
    <t xml:space="preserve">Fontes</t>
  </si>
  <si>
    <t xml:space="preserve">LOA 2026 e PLOA 2027 (Quadro 3, Anexo I, inciso III); PLOA 2027 consolidada de Teresina; DN TCU 219/2025; EC 132/2023 (arts. 159, 212-A e 7º); LC 214/2025 (arts. 419-422, 432-433, 454, 477-479); MTO 2026 (item 12.1.4.1); Banco Central (IPCA SGS 433 e Boletim Focus de 16/10/2026); PLN 24/2026 (valor informado pelo usuário).</t>
  </si>
  <si>
    <t xml:space="preserve">19</t>
  </si>
  <si>
    <t xml:space="preserve">Dotação federal da compensação</t>
  </si>
  <si>
    <t xml:space="preserve">A PLOA 2027 traz a compensação em dois lugares: ação 0909-00YB (R$ 23.498,5 mi, GND 3, fonte 9444, títulos do Tesouro) e o 'Fundo de Compensação aos Estados' no Quadro 10-A (R$ 33.777,6 mi, fora dos limites da LC 200/2023). A diferença de R$ 10.279 mi não é explicada nos documentos. O título fala em Estados, mas a lei e a EC 132 compensam a redução dos valores do art. 159, I e II, o que inclui o FPM. Confirmar com a SOF se a ação 00YB inclui a parcela dos Municípios e qual a memória de cálculo. Risco: se a dotação efetiva for R$ 23,5 bi, o teto do fundo (chave cap_on) fica abaixo da necessidade.</t>
  </si>
  <si>
    <t xml:space="preserve">20</t>
  </si>
  <si>
    <t xml:space="preserve">Teste de consistência da referência</t>
  </si>
  <si>
    <t xml:space="preserve">A referência calculada pela lei com o IPI da RFB fica próxima da implícita no fundo do PLN. Isso sustenta a hipótese de que o fundo de R$ 33.777,6 mi cobre 12 apurações. A conferência está na aba Dados_Base (bloco E).</t>
  </si>
  <si>
    <t xml:space="preserve">21</t>
  </si>
  <si>
    <t xml:space="preserve">IPI em 2026</t>
  </si>
  <si>
    <t xml:space="preserve">A arrecadação de IPI cresceu 13,1% nominal em jan-ago/2026 e 33,7% em ago/2026, com IPI-Fumo +154%. Como a referência é indexada à variação do IPI, um IPI de 2026 inflado por antecipação eleva o valor de referência e a compensação. Vale monitorar set-nov/2026.</t>
  </si>
  <si>
    <t xml:space="preserve">22</t>
  </si>
  <si>
    <t xml:space="preserve">Como o IPI entregue foi obtido</t>
  </si>
  <si>
    <t xml:space="preserve">Os cinco arquivos de base de cálculo (STN) trazem a arrecadação por decêndio e por código de receita. Somando as naturezas 1114/7114 (IPI) obtém-se o IPI que compõe o FPM: R$ 84.373 mi em 2024 e R$ 88.364 mi em 2025, iguais aos valores da PLOA 2027. Aplicando a regra de crédito (coeficiente x base do decêndio anterior; 57% do IPI para FPE, FPM, fundos regionais e IPI-exportação; mais 1% da base dos 12 meses anteriores em jul, set e dez) chega-se ao IPI efetivamente entregue em cada ano. As parcelas de 1% observadas em 2026 batem com a regra ao centavo.</t>
  </si>
  <si>
    <t xml:space="preserve">23</t>
  </si>
  <si>
    <t xml:space="preserve">Evidência sobre o risco da liminar</t>
  </si>
  <si>
    <t xml:space="preserve">Em 2023 o coeficiente de Teresina caiu cerca de 34% em três janelas (jan d1-d2, jul d2 a ago d1), o que é compatível com a perda do CIFPM 6,25 (participação cairia de 5,41% para cerca de 3,5%). O risco de queda é real e já se materializou temporariamente; vale registrá-lo na nota técnica com esse histórico. O coeficiente efetivo de 2026 coincide com a DN TCU 219/2025.</t>
  </si>
  <si>
    <t xml:space="preserve">24</t>
  </si>
  <si>
    <t xml:space="preserve">Orçamento versus fluxo realizado</t>
  </si>
  <si>
    <t xml:space="preserve">O FPM bruto de Teresina em 2026 é estimado em R$ 1.427 mi (jan-set realizado). A PLOA 2027 prevê R$ 1.524 mi, 6,8% a mais, enquanto a PLOA da União projeta FPM total apenas 0,5% acima da LOA 2026. O excesso é de cerca de R$ 90 mi brutos e independe da transição IPI/IS. Também a PLOA lança as cotas de 1% em R$ 173,6 mi, contra R$ 164 mi estimados em 2026.</t>
  </si>
  <si>
    <t xml:space="preserve">25</t>
  </si>
  <si>
    <t xml:space="preserve">Orientação da CNM sobre a compensação</t>
  </si>
  <si>
    <t xml:space="preserve">A Nota Técnica nº 152/2026 da CNM (Elaboração do Orçamento 2027 nos Municípios diante da Reforma Tributária) recomenda que o Município evite incluir estimativa material da compensação sem informação oficial da União e, na falta de dado individualizado confiável, trate o possível ingresso como risco/oportunidade fiscal e reestime durante a execução. Esta planilha segue a orientação: os valores de compensação são estimativas internas para dimensionar caixa e risco, não previsão de receita. A referência oficial do TCU (processo 020.062/2026-5, pautado em 30/09/2026) pode diferir da calculada; para refletir, ajustar o parâmetro de referência na aba Premissas.</t>
  </si>
  <si>
    <t xml:space="preserve">18</t>
  </si>
  <si>
    <t xml:space="preserve">Limitações</t>
  </si>
  <si>
    <t xml:space="preserve">(i) Canal IR do FPM fora do modelo (risco próprio e relevante); (ii) set-dez/2026 projetados (IPI e FPM) com a variação acumulada de 2026; dez/2021 estimado; (iii) calendário do IS e do repasse decendial por validar; (iv) PLN 24/2026 não anexado, apenas o valor; (v) distribuição entre os fundos replica o art. 159, sem considerar eventual regra específica do TCU para a compensação; (vi) efeitos sobre mínimos de saúde e educação e sobre a RCL não calculados nesta versão.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</si>
</sst>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;\(#,##0.00\);\-"/>
    <numFmt numFmtId="166" formatCode="mmm/yy"/>
    <numFmt numFmtId="167" formatCode="0.00%;\(0.00%\);\-"/>
    <numFmt numFmtId="168" formatCode="0.00"/>
    <numFmt numFmtId="169" formatCode="0.0000%;\(0.0000%\);\-"/>
    <numFmt numFmtId="170" formatCode="0"/>
    <numFmt numFmtId="171" formatCode="0%"/>
    <numFmt numFmtId="172" formatCode="0.000000"/>
    <numFmt numFmtId="173" formatCode="0.00000%"/>
    <numFmt numFmtId="174" formatCode="0.000"/>
    <numFmt numFmtId="175" formatCode="0.0000"/>
    <numFmt numFmtId="176" formatCode="0.00%;\-0.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2F5597"/>
      </patternFill>
    </fill>
    <fill>
      <patternFill patternType="solid">
        <fgColor rgb="FF2F5597"/>
        <bgColor rgb="FF1F3864"/>
      </patternFill>
    </fill>
    <fill>
      <patternFill patternType="solid">
        <fgColor rgb="FFD9E2F3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DEDED"/>
        <bgColor rgb="FFD9E2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EDEDED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46AAC4"/>
      <rgbColor rgb="FF98B855"/>
      <rgbColor rgb="FFFFCC00"/>
      <rgbColor rgb="FFFF9900"/>
      <rgbColor rgb="FFFF6600"/>
      <rgbColor rgb="FF7D5FA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Descasamento acumulado vs referência (R$ mi)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Resultados!E34</c:f>
              <c:strCache>
                <c:ptCount val="1"/>
                <c:pt idx="0">
                  <c:v>Acumulado 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Resultados!$A$35:$A$46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Resultados!$E$35:$E$46</c:f>
              <c:numCache>
                <c:formatCode>#,##0.00;\(#,##0.00\);\-</c:formatCode>
                <c:ptCount val="12"/>
                <c:pt idx="0">
                  <c:v>-3.0360011079339</c:v>
                </c:pt>
                <c:pt idx="1">
                  <c:v>-10.027032774295</c:v>
                </c:pt>
                <c:pt idx="2">
                  <c:v>-17.4154214048598</c:v>
                </c:pt>
                <c:pt idx="3">
                  <c:v>-19.0344782560332</c:v>
                </c:pt>
                <c:pt idx="4">
                  <c:v>-15.7883567605951</c:v>
                </c:pt>
                <c:pt idx="5">
                  <c:v>-14.0929114827703</c:v>
                </c:pt>
                <c:pt idx="6">
                  <c:v>-10.7508642430828</c:v>
                </c:pt>
                <c:pt idx="7">
                  <c:v>-11.2260321087612</c:v>
                </c:pt>
                <c:pt idx="8">
                  <c:v>-9.73012748247351</c:v>
                </c:pt>
                <c:pt idx="9">
                  <c:v>-10.1678426038424</c:v>
                </c:pt>
                <c:pt idx="10">
                  <c:v>-11.8229762820087</c:v>
                </c:pt>
                <c:pt idx="11">
                  <c:v>-9.83648325439114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Resultados!F34</c:f>
              <c:strCache>
                <c:ptCount val="1"/>
                <c:pt idx="0">
                  <c:v>Acumulado B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Resultados!$A$35:$A$46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Resultados!$F$35:$F$46</c:f>
              <c:numCache>
                <c:formatCode>#,##0.00;\(#,##0.00\);\-</c:formatCode>
                <c:ptCount val="12"/>
                <c:pt idx="0">
                  <c:v>-3.0360011079339</c:v>
                </c:pt>
                <c:pt idx="1">
                  <c:v>-10.027032774295</c:v>
                </c:pt>
                <c:pt idx="2">
                  <c:v>-17.4154214048598</c:v>
                </c:pt>
                <c:pt idx="3">
                  <c:v>-20.464933412264</c:v>
                </c:pt>
                <c:pt idx="4">
                  <c:v>-19.1942023706686</c:v>
                </c:pt>
                <c:pt idx="5">
                  <c:v>-15.9133359613546</c:v>
                </c:pt>
                <c:pt idx="6">
                  <c:v>-10.5711112803289</c:v>
                </c:pt>
                <c:pt idx="7">
                  <c:v>-11.0462791460073</c:v>
                </c:pt>
                <c:pt idx="8">
                  <c:v>-9.67336338897229</c:v>
                </c:pt>
                <c:pt idx="9">
                  <c:v>-10.1110785103412</c:v>
                </c:pt>
                <c:pt idx="10">
                  <c:v>-11.6999874127561</c:v>
                </c:pt>
                <c:pt idx="11">
                  <c:v>-9.90270803014258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Resultados!G34</c:f>
              <c:strCache>
                <c:ptCount val="1"/>
                <c:pt idx="0">
                  <c:v>Acumulado C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Resultados!$A$35:$A$46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Resultados!$G$35:$G$46</c:f>
              <c:numCache>
                <c:formatCode>#,##0.00;\(#,##0.00\);\-</c:formatCode>
                <c:ptCount val="12"/>
                <c:pt idx="0">
                  <c:v>-3.0360011079339</c:v>
                </c:pt>
                <c:pt idx="1">
                  <c:v>-10.027032774295</c:v>
                </c:pt>
                <c:pt idx="2">
                  <c:v>-17.4154214048598</c:v>
                </c:pt>
                <c:pt idx="3">
                  <c:v>-20.464933412264</c:v>
                </c:pt>
                <c:pt idx="4">
                  <c:v>-20.6246575268994</c:v>
                </c:pt>
                <c:pt idx="5">
                  <c:v>-20.749636727659</c:v>
                </c:pt>
                <c:pt idx="6">
                  <c:v>-17.6062638152257</c:v>
                </c:pt>
                <c:pt idx="7">
                  <c:v>-16.2820099169153</c:v>
                </c:pt>
                <c:pt idx="8">
                  <c:v>-11.5694733255582</c:v>
                </c:pt>
                <c:pt idx="9">
                  <c:v>-9.81779736058486</c:v>
                </c:pt>
                <c:pt idx="10">
                  <c:v>-11.2080319357455</c:v>
                </c:pt>
                <c:pt idx="11">
                  <c:v>-9.97839348814421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0276199"/>
        <c:axId val="46684989"/>
      </c:lineChart>
      <c:catAx>
        <c:axId val="20276199"/>
        <c:scaling>
          <c:orientation val="minMax"/>
        </c:scaling>
        <c:delete val="0"/>
        <c:axPos val="b"/>
        <c:numFmt formatCode="mmm/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684989"/>
        <c:crosses val="autoZero"/>
        <c:auto val="1"/>
        <c:lblAlgn val="ctr"/>
        <c:lblOffset val="100"/>
        <c:noMultiLvlLbl val="0"/>
      </c:catAx>
      <c:valAx>
        <c:axId val="4668498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27619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Caixa mensal do canal IPI/IS + compensação (R$ mi)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Resultados!B49</c:f>
              <c:strCache>
                <c:ptCount val="1"/>
                <c:pt idx="0">
                  <c:v>Cenário A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Resultados!$A$50:$A$61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Resultados!$B$50:$B$61</c:f>
              <c:numCache>
                <c:formatCode>#,##0.00;\(#,##0.00\);\-</c:formatCode>
                <c:ptCount val="12"/>
                <c:pt idx="0">
                  <c:v>6.9983567703774</c:v>
                </c:pt>
                <c:pt idx="1">
                  <c:v>3.07875379064257</c:v>
                </c:pt>
                <c:pt idx="2">
                  <c:v>2.71694948671059</c:v>
                </c:pt>
                <c:pt idx="3">
                  <c:v>8.52195944956972</c:v>
                </c:pt>
                <c:pt idx="4">
                  <c:v>13.4229419460204</c:v>
                </c:pt>
                <c:pt idx="5">
                  <c:v>11.908196289358</c:v>
                </c:pt>
                <c:pt idx="6">
                  <c:v>13.5908556695942</c:v>
                </c:pt>
                <c:pt idx="7">
                  <c:v>9.80982528791029</c:v>
                </c:pt>
                <c:pt idx="8">
                  <c:v>11.8172102583346</c:v>
                </c:pt>
                <c:pt idx="9">
                  <c:v>9.92003119496711</c:v>
                </c:pt>
                <c:pt idx="10">
                  <c:v>8.73918198093657</c:v>
                </c:pt>
                <c:pt idx="11">
                  <c:v>12.4175071422103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Resultados!C49</c:f>
              <c:strCache>
                <c:ptCount val="1"/>
                <c:pt idx="0">
                  <c:v>Cenário B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Resultados!$A$50:$A$61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Resultados!$C$50:$C$61</c:f>
              <c:numCache>
                <c:formatCode>#,##0.00;\(#,##0.00\);\-</c:formatCode>
                <c:ptCount val="12"/>
                <c:pt idx="0">
                  <c:v>6.9983567703774</c:v>
                </c:pt>
                <c:pt idx="1">
                  <c:v>3.07875379064257</c:v>
                </c:pt>
                <c:pt idx="2">
                  <c:v>2.71694948671059</c:v>
                </c:pt>
                <c:pt idx="3">
                  <c:v>7.09150429333885</c:v>
                </c:pt>
                <c:pt idx="4">
                  <c:v>11.4475514921777</c:v>
                </c:pt>
                <c:pt idx="5">
                  <c:v>13.4936174208472</c:v>
                </c:pt>
                <c:pt idx="6">
                  <c:v>15.5910331109323</c:v>
                </c:pt>
                <c:pt idx="7">
                  <c:v>9.80982528791029</c:v>
                </c:pt>
                <c:pt idx="8">
                  <c:v>11.694221389082</c:v>
                </c:pt>
                <c:pt idx="9">
                  <c:v>9.92003119496711</c:v>
                </c:pt>
                <c:pt idx="10">
                  <c:v>8.805406756688</c:v>
                </c:pt>
                <c:pt idx="11">
                  <c:v>12.2282934972062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Resultados!D49</c:f>
              <c:strCache>
                <c:ptCount val="1"/>
                <c:pt idx="0">
                  <c:v>Cenário C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Resultados!$A$50:$A$61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Resultados!$D$50:$D$61</c:f>
              <c:numCache>
                <c:formatCode>#,##0.00;\(#,##0.00\);\-</c:formatCode>
                <c:ptCount val="12"/>
                <c:pt idx="0">
                  <c:v>6.9983567703774</c:v>
                </c:pt>
                <c:pt idx="1">
                  <c:v>3.07875379064257</c:v>
                </c:pt>
                <c:pt idx="2">
                  <c:v>2.71694948671059</c:v>
                </c:pt>
                <c:pt idx="3">
                  <c:v>7.09150429333885</c:v>
                </c:pt>
                <c:pt idx="4">
                  <c:v>10.0170963359469</c:v>
                </c:pt>
                <c:pt idx="5">
                  <c:v>10.0877718107737</c:v>
                </c:pt>
                <c:pt idx="6">
                  <c:v>13.3921813423399</c:v>
                </c:pt>
                <c:pt idx="7">
                  <c:v>11.6092470518991</c:v>
                </c:pt>
                <c:pt idx="8">
                  <c:v>15.033842223404</c:v>
                </c:pt>
                <c:pt idx="9">
                  <c:v>12.1094222813094</c:v>
                </c:pt>
                <c:pt idx="10">
                  <c:v>9.00408108394228</c:v>
                </c:pt>
                <c:pt idx="11">
                  <c:v>11.6606525621939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Resultados!E49</c:f>
              <c:strCache>
                <c:ptCount val="1"/>
                <c:pt idx="0">
                  <c:v>Referência (parcela de Teresina)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Resultados!$A$50:$A$61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Resultados!$E$50:$E$61</c:f>
              <c:numCache>
                <c:formatCode>#,##0.00;\(#,##0.00\);\-</c:formatCode>
                <c:ptCount val="12"/>
                <c:pt idx="0">
                  <c:v>10.0343578783113</c:v>
                </c:pt>
                <c:pt idx="1">
                  <c:v>10.0697854570036</c:v>
                </c:pt>
                <c:pt idx="2">
                  <c:v>10.1053381172754</c:v>
                </c:pt>
                <c:pt idx="3">
                  <c:v>10.1410163007431</c:v>
                </c:pt>
                <c:pt idx="4">
                  <c:v>10.1768204505823</c:v>
                </c:pt>
                <c:pt idx="5">
                  <c:v>10.2127510115333</c:v>
                </c:pt>
                <c:pt idx="6">
                  <c:v>10.2488084299066</c:v>
                </c:pt>
                <c:pt idx="7">
                  <c:v>10.2849931535887</c:v>
                </c:pt>
                <c:pt idx="8">
                  <c:v>10.321305632047</c:v>
                </c:pt>
                <c:pt idx="9">
                  <c:v>10.357746316336</c:v>
                </c:pt>
                <c:pt idx="10">
                  <c:v>10.3943156591029</c:v>
                </c:pt>
                <c:pt idx="11">
                  <c:v>10.4310141145927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Resultados!F49</c:f>
              <c:strCache>
                <c:ptCount val="1"/>
                <c:pt idx="0">
                  <c:v>Orçamento (canal IPI/IS)</c:v>
                </c:pt>
              </c:strCache>
            </c:strRef>
          </c:tx>
          <c:spPr>
            <a:solidFill>
              <a:srgbClr val="46aac4"/>
            </a:solidFill>
            <a:ln w="2844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Resultados!$A$50:$A$61</c:f>
              <c:strCache>
                <c:ptCount val="12"/>
                <c:pt idx="0">
                  <c:v>Jan/27</c:v>
                </c:pt>
                <c:pt idx="1">
                  <c:v>Feb/27</c:v>
                </c:pt>
                <c:pt idx="2">
                  <c:v>Mar/27</c:v>
                </c:pt>
                <c:pt idx="3">
                  <c:v>Apr/27</c:v>
                </c:pt>
                <c:pt idx="4">
                  <c:v>May/27</c:v>
                </c:pt>
                <c:pt idx="5">
                  <c:v>Jun/27</c:v>
                </c:pt>
                <c:pt idx="6">
                  <c:v>Jul/27</c:v>
                </c:pt>
                <c:pt idx="7">
                  <c:v>Aug/27</c:v>
                </c:pt>
                <c:pt idx="8">
                  <c:v>Sep/27</c:v>
                </c:pt>
                <c:pt idx="9">
                  <c:v>Oct/27</c:v>
                </c:pt>
                <c:pt idx="10">
                  <c:v>Nov/27</c:v>
                </c:pt>
                <c:pt idx="11">
                  <c:v>Dec/27</c:v>
                </c:pt>
              </c:strCache>
            </c:strRef>
          </c:cat>
          <c:val>
            <c:numRef>
              <c:f>Resultados!$F$50:$F$61</c:f>
              <c:numCache>
                <c:formatCode>#,##0.00;\(#,##0.00\);\-</c:formatCode>
                <c:ptCount val="12"/>
                <c:pt idx="0">
                  <c:v>4.14364388547174</c:v>
                </c:pt>
                <c:pt idx="1">
                  <c:v>5.63680306521097</c:v>
                </c:pt>
                <c:pt idx="2">
                  <c:v>3.52212036761722</c:v>
                </c:pt>
                <c:pt idx="3">
                  <c:v>3.86288698873413</c:v>
                </c:pt>
                <c:pt idx="4">
                  <c:v>4.49503124163144</c:v>
                </c:pt>
                <c:pt idx="5">
                  <c:v>4.46095614118843</c:v>
                </c:pt>
                <c:pt idx="6">
                  <c:v>5.83963396547176</c:v>
                </c:pt>
                <c:pt idx="7">
                  <c:v>3.88648969940325</c:v>
                </c:pt>
                <c:pt idx="8">
                  <c:v>6.46522102319659</c:v>
                </c:pt>
                <c:pt idx="9">
                  <c:v>3.44784314129058</c:v>
                </c:pt>
                <c:pt idx="10">
                  <c:v>4.47427905302635</c:v>
                </c:pt>
                <c:pt idx="11">
                  <c:v>7.61602043178052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9671103"/>
        <c:axId val="71088927"/>
      </c:lineChart>
      <c:catAx>
        <c:axId val="39671103"/>
        <c:scaling>
          <c:orientation val="minMax"/>
        </c:scaling>
        <c:delete val="0"/>
        <c:axPos val="b"/>
        <c:numFmt formatCode="mmm/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088927"/>
        <c:crosses val="autoZero"/>
        <c:auto val="1"/>
        <c:lblAlgn val="ctr"/>
        <c:lblOffset val="100"/>
        <c:noMultiLvlLbl val="0"/>
      </c:catAx>
      <c:valAx>
        <c:axId val="710889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7110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0</xdr:rowOff>
    </xdr:from>
    <xdr:to>
      <xdr:col>17</xdr:col>
      <xdr:colOff>364680</xdr:colOff>
      <xdr:row>17</xdr:row>
      <xdr:rowOff>183240</xdr:rowOff>
    </xdr:to>
    <xdr:graphicFrame>
      <xdr:nvGraphicFramePr>
        <xdr:cNvPr id="0" name="Chart 1"/>
        <xdr:cNvGraphicFramePr/>
      </xdr:nvGraphicFramePr>
      <xdr:xfrm>
        <a:off x="12828240" y="68580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21</xdr:row>
      <xdr:rowOff>0</xdr:rowOff>
    </xdr:from>
    <xdr:to>
      <xdr:col>17</xdr:col>
      <xdr:colOff>364680</xdr:colOff>
      <xdr:row>36</xdr:row>
      <xdr:rowOff>89640</xdr:rowOff>
    </xdr:to>
    <xdr:graphicFrame>
      <xdr:nvGraphicFramePr>
        <xdr:cNvPr id="1" name="Chart 2"/>
        <xdr:cNvGraphicFramePr/>
      </xdr:nvGraphicFramePr>
      <xdr:xfrm>
        <a:off x="12828240" y="4324320"/>
        <a:ext cx="647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30"/>
    <col collapsed="false" customWidth="true" hidden="false" outlineLevel="0" max="3" min="3" style="0" width="4"/>
  </cols>
  <sheetData>
    <row r="1" customFormat="false" ht="24" hidden="false" customHeight="tru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48" hidden="false" customHeight="true" outlineLevel="0" collapsed="false">
      <c r="A4" s="4" t="s">
        <v>2</v>
      </c>
      <c r="B4" s="5" t="s">
        <v>3</v>
      </c>
    </row>
    <row r="5" customFormat="false" ht="48" hidden="false" customHeight="true" outlineLevel="0" collapsed="false">
      <c r="A5" s="4" t="s">
        <v>4</v>
      </c>
      <c r="B5" s="5" t="s">
        <v>5</v>
      </c>
    </row>
    <row r="6" customFormat="false" ht="48" hidden="false" customHeight="true" outlineLevel="0" collapsed="false">
      <c r="A6" s="4" t="s">
        <v>6</v>
      </c>
      <c r="B6" s="5" t="s">
        <v>7</v>
      </c>
    </row>
    <row r="7" customFormat="false" ht="48" hidden="false" customHeight="true" outlineLevel="0" collapsed="false">
      <c r="A7" s="4" t="s">
        <v>8</v>
      </c>
      <c r="B7" s="5" t="s">
        <v>9</v>
      </c>
    </row>
    <row r="8" customFormat="false" ht="48" hidden="false" customHeight="true" outlineLevel="0" collapsed="false">
      <c r="A8" s="4" t="s">
        <v>10</v>
      </c>
      <c r="B8" s="5" t="s">
        <v>11</v>
      </c>
    </row>
    <row r="9" customFormat="false" ht="48" hidden="false" customHeight="true" outlineLevel="0" collapsed="false">
      <c r="A9" s="4" t="s">
        <v>12</v>
      </c>
      <c r="B9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4" min="2" style="0" width="20"/>
    <col collapsed="false" customWidth="true" hidden="false" outlineLevel="0" max="5" min="5" style="0" width="24"/>
    <col collapsed="false" customWidth="true" hidden="false" outlineLevel="0" max="6" min="6" style="0" width="22"/>
    <col collapsed="false" customWidth="true" hidden="false" outlineLevel="0" max="7" min="7" style="0" width="14"/>
  </cols>
  <sheetData>
    <row r="1" customFormat="false" ht="24" hidden="false" customHeight="true" outlineLevel="0" collapsed="false">
      <c r="A1" s="1" t="s">
        <v>14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15</v>
      </c>
    </row>
    <row r="4" customFormat="false" ht="31.5" hidden="false" customHeight="true" outlineLevel="0" collapsed="false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</row>
    <row r="5" customFormat="false" ht="15" hidden="false" customHeight="false" outlineLevel="0" collapsed="false">
      <c r="A5" s="7" t="s">
        <v>21</v>
      </c>
      <c r="B5" s="8"/>
      <c r="C5" s="8"/>
      <c r="D5" s="8"/>
      <c r="E5" s="8"/>
    </row>
    <row r="6" customFormat="false" ht="15" hidden="false" customHeight="false" outlineLevel="0" collapsed="false">
      <c r="A6" s="5" t="s">
        <v>22</v>
      </c>
      <c r="B6" s="9" t="n">
        <f aca="false">SUM(Calc_A!V20:V31)</f>
        <v>31783.9612746707</v>
      </c>
      <c r="C6" s="9" t="n">
        <f aca="false">SUM(Calc_B!V20:V31)</f>
        <v>33848.7818163373</v>
      </c>
      <c r="D6" s="9" t="n">
        <f aca="false">SUM(Calc_C!V20:V31)</f>
        <v>40008.246483004</v>
      </c>
      <c r="E6" s="3" t="s">
        <v>23</v>
      </c>
    </row>
    <row r="7" customFormat="false" ht="15" hidden="false" customHeight="false" outlineLevel="0" collapsed="false">
      <c r="A7" s="5" t="s">
        <v>24</v>
      </c>
      <c r="B7" s="10" t="n">
        <f aca="false">Calc_A!U30+Calc_A!U31</f>
        <v>6011.89076772769</v>
      </c>
      <c r="C7" s="10" t="n">
        <f aca="false">Calc_B!U30+Calc_B!U31</f>
        <v>6046.88772606103</v>
      </c>
      <c r="D7" s="10" t="n">
        <f aca="false">Calc_C!U30+Calc_C!U31</f>
        <v>6151.87860106103</v>
      </c>
      <c r="E7" s="3" t="s">
        <v>25</v>
      </c>
    </row>
    <row r="8" customFormat="false" ht="15" hidden="false" customHeight="false" outlineLevel="0" collapsed="false">
      <c r="A8" s="5" t="s">
        <v>26</v>
      </c>
      <c r="B8" s="9" t="n">
        <f aca="false">SUM(Calc_A!U20:U31)</f>
        <v>37795.8520423984</v>
      </c>
      <c r="C8" s="9" t="n">
        <f aca="false">SUM(Calc_B!U20:U31)</f>
        <v>39895.6695423984</v>
      </c>
      <c r="D8" s="9" t="n">
        <f aca="false">SUM(Calc_C!U20:U31)</f>
        <v>46160.125084065</v>
      </c>
      <c r="E8" s="3" t="s">
        <v>27</v>
      </c>
    </row>
    <row r="9" customFormat="false" ht="15" hidden="false" customHeight="false" outlineLevel="0" collapsed="false">
      <c r="A9" s="5" t="s">
        <v>28</v>
      </c>
      <c r="B9" s="10" t="n">
        <f aca="false">comp_fundo</f>
        <v>33777.6</v>
      </c>
      <c r="C9" s="10" t="n">
        <f aca="false">comp_fundo</f>
        <v>33777.6</v>
      </c>
      <c r="D9" s="10" t="n">
        <f aca="false">comp_fundo</f>
        <v>33777.6</v>
      </c>
      <c r="E9" s="3" t="s">
        <v>29</v>
      </c>
    </row>
    <row r="10" customFormat="false" ht="15" hidden="false" customHeight="false" outlineLevel="0" collapsed="false">
      <c r="A10" s="5" t="s">
        <v>30</v>
      </c>
      <c r="B10" s="10" t="n">
        <f aca="false">B8-B9</f>
        <v>4018.25204239837</v>
      </c>
      <c r="C10" s="10" t="n">
        <f aca="false">C8-C9</f>
        <v>6118.06954239836</v>
      </c>
      <c r="D10" s="10" t="n">
        <f aca="false">D8-D9</f>
        <v>12382.525084065</v>
      </c>
      <c r="E10" s="3" t="s">
        <v>31</v>
      </c>
    </row>
    <row r="11" customFormat="false" ht="15" hidden="false" customHeight="false" outlineLevel="0" collapsed="false">
      <c r="A11" s="5" t="s">
        <v>32</v>
      </c>
      <c r="B11" s="10" t="n">
        <f aca="false">MAX(0,SUM(Calc_A!V20:V31)-comp_fundo)</f>
        <v>0</v>
      </c>
      <c r="C11" s="10" t="n">
        <f aca="false">MAX(0,SUM(Calc_B!V20:V31)-comp_fundo)</f>
        <v>71.1818163373391</v>
      </c>
      <c r="D11" s="10" t="n">
        <f aca="false">MAX(0,SUM(Calc_C!V20:V31)-comp_fundo)</f>
        <v>6230.646483004</v>
      </c>
      <c r="E11" s="3" t="s">
        <v>33</v>
      </c>
    </row>
    <row r="12" customFormat="false" ht="15" hidden="false" customHeight="false" outlineLevel="0" collapsed="false">
      <c r="A12" s="7" t="s">
        <v>34</v>
      </c>
      <c r="B12" s="8"/>
      <c r="C12" s="8"/>
      <c r="D12" s="8"/>
      <c r="E12" s="8"/>
    </row>
    <row r="13" customFormat="false" ht="15" hidden="false" customHeight="false" outlineLevel="0" collapsed="false">
      <c r="A13" s="5" t="s">
        <v>35</v>
      </c>
      <c r="B13" s="9" t="n">
        <f aca="false">SUM(Calc_A!AC20:AC31)</f>
        <v>52.7969507410072</v>
      </c>
      <c r="C13" s="9" t="n">
        <f aca="false">SUM(Calc_B!AC20:AC31)</f>
        <v>48.8234641959214</v>
      </c>
      <c r="D13" s="9" t="n">
        <f aca="false">SUM(Calc_C!AC20:AC31)</f>
        <v>37.0922182056683</v>
      </c>
      <c r="E13" s="3" t="s">
        <v>36</v>
      </c>
    </row>
    <row r="14" customFormat="false" ht="15" hidden="false" customHeight="false" outlineLevel="0" collapsed="false">
      <c r="A14" s="5" t="s">
        <v>37</v>
      </c>
      <c r="B14" s="9" t="n">
        <f aca="false">SUM(Calc_A!AD20:AD31)</f>
        <v>60.1448185256245</v>
      </c>
      <c r="C14" s="9" t="n">
        <f aca="false">SUM(Calc_B!AD20:AD31)</f>
        <v>64.0520802949588</v>
      </c>
      <c r="D14" s="9" t="n">
        <f aca="false">SUM(Calc_C!AD20:AD31)</f>
        <v>75.7076408272103</v>
      </c>
      <c r="E14" s="3" t="s">
        <v>38</v>
      </c>
    </row>
    <row r="15" customFormat="false" ht="15" hidden="false" customHeight="false" outlineLevel="0" collapsed="false">
      <c r="A15" s="5" t="s">
        <v>39</v>
      </c>
      <c r="B15" s="9" t="n">
        <f aca="false">SUM(Calc_A!AE20:AE31)</f>
        <v>112.941769266632</v>
      </c>
      <c r="C15" s="9" t="n">
        <f aca="false">SUM(Calc_B!AE20:AE31)</f>
        <v>112.87554449088</v>
      </c>
      <c r="D15" s="9" t="n">
        <f aca="false">SUM(Calc_C!AE20:AE31)</f>
        <v>112.799859032879</v>
      </c>
      <c r="E15" s="3" t="s">
        <v>40</v>
      </c>
    </row>
    <row r="16" customFormat="false" ht="15" hidden="false" customHeight="false" outlineLevel="0" collapsed="false">
      <c r="A16" s="5" t="s">
        <v>41</v>
      </c>
      <c r="B16" s="9" t="n">
        <f aca="false">SUM(Calc_A!AF20:AF31)</f>
        <v>122.778252521023</v>
      </c>
      <c r="C16" s="9" t="n">
        <f aca="false">SUM(Calc_B!AF20:AF31)</f>
        <v>122.778252521023</v>
      </c>
      <c r="D16" s="9" t="n">
        <f aca="false">SUM(Calc_C!AF20:AF31)</f>
        <v>122.778252521023</v>
      </c>
      <c r="E16" s="3" t="s">
        <v>42</v>
      </c>
    </row>
    <row r="17" customFormat="false" ht="15" hidden="false" customHeight="false" outlineLevel="0" collapsed="false">
      <c r="A17" s="5" t="s">
        <v>43</v>
      </c>
      <c r="B17" s="9" t="n">
        <f aca="false">SUM(Calc_A!AG20:AG31)</f>
        <v>-9.83648325439114</v>
      </c>
      <c r="C17" s="9" t="n">
        <f aca="false">SUM(Calc_B!AG20:AG31)</f>
        <v>-9.90270803014258</v>
      </c>
      <c r="D17" s="9" t="n">
        <f aca="false">SUM(Calc_C!AG20:AG31)</f>
        <v>-9.97839348814421</v>
      </c>
      <c r="E17" s="3" t="s">
        <v>44</v>
      </c>
    </row>
    <row r="18" customFormat="false" ht="15" hidden="false" customHeight="false" outlineLevel="0" collapsed="false">
      <c r="A18" s="5" t="s">
        <v>45</v>
      </c>
      <c r="B18" s="9" t="n">
        <f aca="false">MIN(Calc_A!AH20:AH31)</f>
        <v>-19.0344782560332</v>
      </c>
      <c r="C18" s="9" t="n">
        <f aca="false">MIN(Calc_B!AH20:AH31)</f>
        <v>-20.464933412264</v>
      </c>
      <c r="D18" s="9" t="n">
        <f aca="false">MIN(Calc_C!AH20:AH31)</f>
        <v>-20.749636727659</v>
      </c>
      <c r="E18" s="3" t="s">
        <v>46</v>
      </c>
    </row>
    <row r="19" customFormat="false" ht="15" hidden="false" customHeight="false" outlineLevel="0" collapsed="false">
      <c r="A19" s="5" t="s">
        <v>47</v>
      </c>
      <c r="B19" s="11" t="n">
        <f aca="false">INDEX(Calc_A!A20:A31,MATCH(MIN(Calc_A!AH20:AH31),Calc_A!AH20:AH31,0))</f>
        <v>46478</v>
      </c>
      <c r="C19" s="11" t="n">
        <f aca="false">INDEX(Calc_B!A20:A31,MATCH(MIN(Calc_B!AH20:AH31),Calc_B!AH20:AH31,0))</f>
        <v>46478</v>
      </c>
      <c r="D19" s="11" t="n">
        <f aca="false">INDEX(Calc_C!A20:A31,MATCH(MIN(Calc_C!AH20:AH31),Calc_C!AH20:AH31,0))</f>
        <v>46539</v>
      </c>
    </row>
    <row r="20" customFormat="false" ht="15" hidden="false" customHeight="false" outlineLevel="0" collapsed="false">
      <c r="A20" s="5" t="s">
        <v>48</v>
      </c>
      <c r="B20" s="9" t="n">
        <f aca="false">MIN(Calc_A!AG20:AG31)</f>
        <v>-7.38838863056484</v>
      </c>
      <c r="C20" s="9" t="n">
        <f aca="false">MIN(Calc_B!AG20:AG31)</f>
        <v>-7.38838863056484</v>
      </c>
      <c r="D20" s="9" t="n">
        <f aca="false">MIN(Calc_C!AG20:AG31)</f>
        <v>-7.38838863056484</v>
      </c>
      <c r="E20" s="3" t="s">
        <v>49</v>
      </c>
    </row>
    <row r="21" customFormat="false" ht="15" hidden="false" customHeight="false" outlineLevel="0" collapsed="false">
      <c r="A21" s="5" t="s">
        <v>50</v>
      </c>
      <c r="B21" s="11" t="n">
        <f aca="false">INDEX(Calc_A!A20:A31,MATCH(MIN(Calc_A!AG20:AG31),Calc_A!AG20:AG31,0))</f>
        <v>46447</v>
      </c>
      <c r="C21" s="11" t="n">
        <f aca="false">INDEX(Calc_B!A20:A31,MATCH(MIN(Calc_B!AG20:AG31),Calc_B!AG20:AG31,0))</f>
        <v>46447</v>
      </c>
      <c r="D21" s="11" t="n">
        <f aca="false">INDEX(Calc_C!A20:A31,MATCH(MIN(Calc_C!AG20:AG31),Calc_C!AG20:AG31,0))</f>
        <v>46447</v>
      </c>
    </row>
    <row r="22" customFormat="false" ht="15" hidden="false" customHeight="false" outlineLevel="0" collapsed="false">
      <c r="A22" s="5" t="s">
        <v>51</v>
      </c>
      <c r="B22" s="9" t="n">
        <f aca="false">SUM(Calc_A!AG20:AG21)</f>
        <v>-10.027032774295</v>
      </c>
      <c r="C22" s="9" t="n">
        <f aca="false">SUM(Calc_B!AG20:AG21)</f>
        <v>-10.027032774295</v>
      </c>
      <c r="D22" s="9" t="n">
        <f aca="false">SUM(Calc_C!AG20:AG21)</f>
        <v>-10.027032774295</v>
      </c>
      <c r="E22" s="3" t="s">
        <v>52</v>
      </c>
    </row>
    <row r="23" customFormat="false" ht="15" hidden="false" customHeight="false" outlineLevel="0" collapsed="false">
      <c r="A23" s="5" t="s">
        <v>53</v>
      </c>
      <c r="B23" s="9" t="n">
        <f aca="false">SUM(Calc_A!AG22:AG23)</f>
        <v>-9.0074454817382</v>
      </c>
      <c r="C23" s="9" t="n">
        <f aca="false">SUM(Calc_B!AG22:AG23)</f>
        <v>-10.4379006379691</v>
      </c>
      <c r="D23" s="9" t="n">
        <f aca="false">SUM(Calc_C!AG22:AG23)</f>
        <v>-10.4379006379691</v>
      </c>
      <c r="E23" s="3" t="s">
        <v>54</v>
      </c>
    </row>
    <row r="24" customFormat="false" ht="15" hidden="false" customHeight="false" outlineLevel="0" collapsed="false">
      <c r="A24" s="5" t="s">
        <v>55</v>
      </c>
      <c r="B24" s="9" t="n">
        <f aca="false">SUM(Calc_A!AG20:AG25)</f>
        <v>-14.0929114827703</v>
      </c>
      <c r="C24" s="9" t="n">
        <f aca="false">SUM(Calc_B!AG20:AG25)</f>
        <v>-15.9133359613546</v>
      </c>
      <c r="D24" s="9" t="n">
        <f aca="false">SUM(Calc_C!AG20:AG25)</f>
        <v>-20.749636727659</v>
      </c>
    </row>
    <row r="25" customFormat="false" ht="15" hidden="false" customHeight="false" outlineLevel="0" collapsed="false">
      <c r="A25" s="5" t="s">
        <v>56</v>
      </c>
      <c r="B25" s="10" t="n">
        <f aca="false">s_T*(p_fpm_reg/p_all*(1-fundeb)+p_fpm_ext/p_all)*(Calc_A!U30+Calc_A!U31)</f>
        <v>11.3763063104728</v>
      </c>
      <c r="C25" s="10" t="n">
        <f aca="false">s_T*(p_fpm_reg/p_all*(1-fundeb)+p_fpm_ext/p_all)*(Calc_B!U30+Calc_B!U31)</f>
        <v>11.4425310862242</v>
      </c>
      <c r="D25" s="10" t="n">
        <f aca="false">s_T*(p_fpm_reg/p_all*(1-fundeb)+p_fpm_ext/p_all)*(Calc_C!U30+Calc_C!U31)</f>
        <v>11.6412054134785</v>
      </c>
      <c r="E25" s="3" t="s">
        <v>57</v>
      </c>
    </row>
    <row r="26" customFormat="false" ht="15" hidden="false" customHeight="false" outlineLevel="0" collapsed="false">
      <c r="A26" s="7" t="s">
        <v>58</v>
      </c>
      <c r="B26" s="8"/>
      <c r="C26" s="8"/>
      <c r="D26" s="8"/>
      <c r="E26" s="8"/>
    </row>
    <row r="27" customFormat="false" ht="15" hidden="false" customHeight="false" outlineLevel="0" collapsed="false">
      <c r="A27" s="5" t="s">
        <v>59</v>
      </c>
      <c r="B27" s="9" t="n">
        <f aca="false">SUM(Calc_A!AI20:AI31)</f>
        <v>57.850929004023</v>
      </c>
      <c r="C27" s="9" t="n">
        <f aca="false">SUM(Calc_B!AI20:AI31)</f>
        <v>57.850929004023</v>
      </c>
      <c r="D27" s="9" t="n">
        <f aca="false">SUM(Calc_C!AI20:AI31)</f>
        <v>57.850929004023</v>
      </c>
      <c r="E27" s="3" t="s">
        <v>60</v>
      </c>
    </row>
    <row r="28" customFormat="false" ht="15" hidden="false" customHeight="false" outlineLevel="0" collapsed="false">
      <c r="A28" s="5" t="s">
        <v>61</v>
      </c>
      <c r="B28" s="9" t="n">
        <f aca="false">SUM(Calc_A!AJ20:AJ31)</f>
        <v>-5.05397826301582</v>
      </c>
      <c r="C28" s="9" t="n">
        <f aca="false">SUM(Calc_B!AJ20:AJ31)</f>
        <v>-9.02746480810157</v>
      </c>
      <c r="D28" s="9" t="n">
        <f aca="false">SUM(Calc_C!AJ20:AJ31)</f>
        <v>-20.7587107983547</v>
      </c>
      <c r="E28" s="3" t="s">
        <v>62</v>
      </c>
    </row>
    <row r="29" customFormat="false" ht="15" hidden="false" customHeight="false" outlineLevel="0" collapsed="false">
      <c r="A29" s="5" t="s">
        <v>63</v>
      </c>
      <c r="B29" s="9" t="n">
        <f aca="false">MIN(Calc_A!AK20:AK31)</f>
        <v>-6.10286835917765</v>
      </c>
      <c r="C29" s="9" t="n">
        <f aca="false">MIN(Calc_B!AK20:AK31)</f>
        <v>-9.50871396925115</v>
      </c>
      <c r="D29" s="9" t="n">
        <f aca="false">MIN(Calc_C!AK20:AK31)</f>
        <v>-20.7587107983547</v>
      </c>
      <c r="E29" s="3" t="s">
        <v>64</v>
      </c>
    </row>
    <row r="30" customFormat="false" ht="15" hidden="false" customHeight="false" outlineLevel="0" collapsed="false">
      <c r="A30" s="5" t="s">
        <v>65</v>
      </c>
      <c r="B30" s="9" t="n">
        <f aca="false">SUM(Calc_A!AD20:AD31)</f>
        <v>60.1448185256245</v>
      </c>
      <c r="C30" s="9" t="n">
        <f aca="false">SUM(Calc_B!AD20:AD31)</f>
        <v>64.0520802949588</v>
      </c>
      <c r="D30" s="9" t="n">
        <f aca="false">SUM(Calc_C!AD20:AD31)</f>
        <v>75.7076408272103</v>
      </c>
      <c r="E30" s="3" t="s">
        <v>66</v>
      </c>
    </row>
    <row r="31" customFormat="false" ht="23.85" hidden="false" customHeight="false" outlineLevel="0" collapsed="false">
      <c r="A31" s="5" t="s">
        <v>67</v>
      </c>
      <c r="B31" s="9" t="n">
        <f aca="false">SUM(Calc_A!AE20:AE31)-SUM(Calc_A!AI20:AI31)</f>
        <v>55.0908402626086</v>
      </c>
      <c r="C31" s="9" t="n">
        <f aca="false">SUM(Calc_B!AE20:AE31)-SUM(Calc_B!AI20:AI31)</f>
        <v>55.0246154868572</v>
      </c>
      <c r="D31" s="9" t="n">
        <f aca="false">SUM(Calc_C!AE20:AE31)-SUM(Calc_C!AI20:AI31)</f>
        <v>54.9489300288556</v>
      </c>
      <c r="E31" s="3" t="s">
        <v>68</v>
      </c>
    </row>
    <row r="33" customFormat="false" ht="15" hidden="false" customHeight="false" outlineLevel="0" collapsed="false">
      <c r="A33" s="12" t="s">
        <v>69</v>
      </c>
    </row>
    <row r="34" customFormat="false" ht="15" hidden="false" customHeight="false" outlineLevel="0" collapsed="false">
      <c r="A34" s="6" t="s">
        <v>70</v>
      </c>
      <c r="B34" s="6" t="s">
        <v>71</v>
      </c>
      <c r="C34" s="6" t="s">
        <v>72</v>
      </c>
      <c r="D34" s="6" t="s">
        <v>73</v>
      </c>
      <c r="E34" s="6" t="s">
        <v>74</v>
      </c>
      <c r="F34" s="6" t="s">
        <v>75</v>
      </c>
      <c r="G34" s="6" t="s">
        <v>76</v>
      </c>
    </row>
    <row r="35" customFormat="false" ht="15" hidden="false" customHeight="false" outlineLevel="0" collapsed="false">
      <c r="A35" s="13" t="n">
        <f aca="false">Calc_A!A20</f>
        <v>46388</v>
      </c>
      <c r="B35" s="9" t="n">
        <f aca="false">Calc_A!AG20</f>
        <v>-3.0360011079339</v>
      </c>
      <c r="C35" s="9" t="n">
        <f aca="false">Calc_B!AG20</f>
        <v>-3.0360011079339</v>
      </c>
      <c r="D35" s="9" t="n">
        <f aca="false">Calc_C!AG20</f>
        <v>-3.0360011079339</v>
      </c>
      <c r="E35" s="9" t="n">
        <f aca="false">Calc_A!AH20</f>
        <v>-3.0360011079339</v>
      </c>
      <c r="F35" s="9" t="n">
        <f aca="false">Calc_B!AH20</f>
        <v>-3.0360011079339</v>
      </c>
      <c r="G35" s="9" t="n">
        <f aca="false">Calc_C!AH20</f>
        <v>-3.0360011079339</v>
      </c>
    </row>
    <row r="36" customFormat="false" ht="15" hidden="false" customHeight="false" outlineLevel="0" collapsed="false">
      <c r="A36" s="13" t="n">
        <f aca="false">Calc_A!A21</f>
        <v>46419</v>
      </c>
      <c r="B36" s="9" t="n">
        <f aca="false">Calc_A!AG21</f>
        <v>-6.99103166636108</v>
      </c>
      <c r="C36" s="9" t="n">
        <f aca="false">Calc_B!AG21</f>
        <v>-6.99103166636108</v>
      </c>
      <c r="D36" s="9" t="n">
        <f aca="false">Calc_C!AG21</f>
        <v>-6.99103166636108</v>
      </c>
      <c r="E36" s="9" t="n">
        <f aca="false">Calc_A!AH21</f>
        <v>-10.027032774295</v>
      </c>
      <c r="F36" s="9" t="n">
        <f aca="false">Calc_B!AH21</f>
        <v>-10.027032774295</v>
      </c>
      <c r="G36" s="9" t="n">
        <f aca="false">Calc_C!AH21</f>
        <v>-10.027032774295</v>
      </c>
    </row>
    <row r="37" customFormat="false" ht="15" hidden="false" customHeight="false" outlineLevel="0" collapsed="false">
      <c r="A37" s="13" t="n">
        <f aca="false">Calc_A!A22</f>
        <v>46447</v>
      </c>
      <c r="B37" s="9" t="n">
        <f aca="false">Calc_A!AG22</f>
        <v>-7.38838863056484</v>
      </c>
      <c r="C37" s="9" t="n">
        <f aca="false">Calc_B!AG22</f>
        <v>-7.38838863056484</v>
      </c>
      <c r="D37" s="9" t="n">
        <f aca="false">Calc_C!AG22</f>
        <v>-7.38838863056484</v>
      </c>
      <c r="E37" s="9" t="n">
        <f aca="false">Calc_A!AH22</f>
        <v>-17.4154214048598</v>
      </c>
      <c r="F37" s="9" t="n">
        <f aca="false">Calc_B!AH22</f>
        <v>-17.4154214048598</v>
      </c>
      <c r="G37" s="9" t="n">
        <f aca="false">Calc_C!AH22</f>
        <v>-17.4154214048598</v>
      </c>
    </row>
    <row r="38" customFormat="false" ht="15" hidden="false" customHeight="false" outlineLevel="0" collapsed="false">
      <c r="A38" s="13" t="n">
        <f aca="false">Calc_A!A23</f>
        <v>46478</v>
      </c>
      <c r="B38" s="9" t="n">
        <f aca="false">Calc_A!AG23</f>
        <v>-1.61905685117336</v>
      </c>
      <c r="C38" s="9" t="n">
        <f aca="false">Calc_B!AG23</f>
        <v>-3.04951200740423</v>
      </c>
      <c r="D38" s="9" t="n">
        <f aca="false">Calc_C!AG23</f>
        <v>-3.04951200740423</v>
      </c>
      <c r="E38" s="9" t="n">
        <f aca="false">Calc_A!AH23</f>
        <v>-19.0344782560332</v>
      </c>
      <c r="F38" s="9" t="n">
        <f aca="false">Calc_B!AH23</f>
        <v>-20.464933412264</v>
      </c>
      <c r="G38" s="9" t="n">
        <f aca="false">Calc_C!AH23</f>
        <v>-20.464933412264</v>
      </c>
    </row>
    <row r="39" customFormat="false" ht="15" hidden="false" customHeight="false" outlineLevel="0" collapsed="false">
      <c r="A39" s="13" t="n">
        <f aca="false">Calc_A!A24</f>
        <v>46508</v>
      </c>
      <c r="B39" s="9" t="n">
        <f aca="false">Calc_A!AG24</f>
        <v>3.24612149543812</v>
      </c>
      <c r="C39" s="9" t="n">
        <f aca="false">Calc_B!AG24</f>
        <v>1.27073104159549</v>
      </c>
      <c r="D39" s="9" t="n">
        <f aca="false">Calc_C!AG24</f>
        <v>-0.159724114635379</v>
      </c>
      <c r="E39" s="9" t="n">
        <f aca="false">Calc_A!AH24</f>
        <v>-15.7883567605951</v>
      </c>
      <c r="F39" s="9" t="n">
        <f aca="false">Calc_B!AH24</f>
        <v>-19.1942023706686</v>
      </c>
      <c r="G39" s="9" t="n">
        <f aca="false">Calc_C!AH24</f>
        <v>-20.6246575268994</v>
      </c>
    </row>
    <row r="40" customFormat="false" ht="15" hidden="false" customHeight="false" outlineLevel="0" collapsed="false">
      <c r="A40" s="13" t="n">
        <f aca="false">Calc_A!A25</f>
        <v>46539</v>
      </c>
      <c r="B40" s="9" t="n">
        <f aca="false">Calc_A!AG25</f>
        <v>1.69544527782471</v>
      </c>
      <c r="C40" s="9" t="n">
        <f aca="false">Calc_B!AG25</f>
        <v>3.28086640931392</v>
      </c>
      <c r="D40" s="9" t="n">
        <f aca="false">Calc_C!AG25</f>
        <v>-0.124979200759579</v>
      </c>
      <c r="E40" s="9" t="n">
        <f aca="false">Calc_A!AH25</f>
        <v>-14.0929114827703</v>
      </c>
      <c r="F40" s="9" t="n">
        <f aca="false">Calc_B!AH25</f>
        <v>-15.9133359613546</v>
      </c>
      <c r="G40" s="9" t="n">
        <f aca="false">Calc_C!AH25</f>
        <v>-20.749636727659</v>
      </c>
    </row>
    <row r="41" customFormat="false" ht="15" hidden="false" customHeight="false" outlineLevel="0" collapsed="false">
      <c r="A41" s="13" t="n">
        <f aca="false">Calc_A!A26</f>
        <v>46569</v>
      </c>
      <c r="B41" s="9" t="n">
        <f aca="false">Calc_A!AG26</f>
        <v>3.34204723968755</v>
      </c>
      <c r="C41" s="9" t="n">
        <f aca="false">Calc_B!AG26</f>
        <v>5.34222468102571</v>
      </c>
      <c r="D41" s="9" t="n">
        <f aca="false">Calc_C!AG26</f>
        <v>3.14337291243326</v>
      </c>
      <c r="E41" s="9" t="n">
        <f aca="false">Calc_A!AH26</f>
        <v>-10.7508642430828</v>
      </c>
      <c r="F41" s="9" t="n">
        <f aca="false">Calc_B!AH26</f>
        <v>-10.5711112803289</v>
      </c>
      <c r="G41" s="9" t="n">
        <f aca="false">Calc_C!AH26</f>
        <v>-17.6062638152257</v>
      </c>
    </row>
    <row r="42" customFormat="false" ht="15" hidden="false" customHeight="false" outlineLevel="0" collapsed="false">
      <c r="A42" s="13" t="n">
        <f aca="false">Calc_A!A27</f>
        <v>46600</v>
      </c>
      <c r="B42" s="9" t="n">
        <f aca="false">Calc_A!AG27</f>
        <v>-0.475167865678371</v>
      </c>
      <c r="C42" s="9" t="n">
        <f aca="false">Calc_B!AG27</f>
        <v>-0.475167865678371</v>
      </c>
      <c r="D42" s="9" t="n">
        <f aca="false">Calc_C!AG27</f>
        <v>1.32425389831046</v>
      </c>
      <c r="E42" s="9" t="n">
        <f aca="false">Calc_A!AH27</f>
        <v>-11.2260321087612</v>
      </c>
      <c r="F42" s="9" t="n">
        <f aca="false">Calc_B!AH27</f>
        <v>-11.0462791460073</v>
      </c>
      <c r="G42" s="9" t="n">
        <f aca="false">Calc_C!AH27</f>
        <v>-16.2820099169153</v>
      </c>
    </row>
    <row r="43" customFormat="false" ht="15" hidden="false" customHeight="false" outlineLevel="0" collapsed="false">
      <c r="A43" s="13" t="n">
        <f aca="false">Calc_A!A28</f>
        <v>46631</v>
      </c>
      <c r="B43" s="9" t="n">
        <f aca="false">Calc_A!AG28</f>
        <v>1.49590462628766</v>
      </c>
      <c r="C43" s="9" t="n">
        <f aca="false">Calc_B!AG28</f>
        <v>1.37291575703501</v>
      </c>
      <c r="D43" s="9" t="n">
        <f aca="false">Calc_C!AG28</f>
        <v>4.71253659135708</v>
      </c>
      <c r="E43" s="9" t="n">
        <f aca="false">Calc_A!AH28</f>
        <v>-9.73012748247351</v>
      </c>
      <c r="F43" s="9" t="n">
        <f aca="false">Calc_B!AH28</f>
        <v>-9.67336338897229</v>
      </c>
      <c r="G43" s="9" t="n">
        <f aca="false">Calc_C!AH28</f>
        <v>-11.5694733255582</v>
      </c>
    </row>
    <row r="44" customFormat="false" ht="15" hidden="false" customHeight="false" outlineLevel="0" collapsed="false">
      <c r="A44" s="13" t="n">
        <f aca="false">Calc_A!A29</f>
        <v>46661</v>
      </c>
      <c r="B44" s="9" t="n">
        <f aca="false">Calc_A!AG29</f>
        <v>-0.437715121368907</v>
      </c>
      <c r="C44" s="9" t="n">
        <f aca="false">Calc_B!AG29</f>
        <v>-0.437715121368907</v>
      </c>
      <c r="D44" s="9" t="n">
        <f aca="false">Calc_C!AG29</f>
        <v>1.75167596497334</v>
      </c>
      <c r="E44" s="9" t="n">
        <f aca="false">Calc_A!AH29</f>
        <v>-10.1678426038424</v>
      </c>
      <c r="F44" s="9" t="n">
        <f aca="false">Calc_B!AH29</f>
        <v>-10.1110785103412</v>
      </c>
      <c r="G44" s="9" t="n">
        <f aca="false">Calc_C!AH29</f>
        <v>-9.81779736058486</v>
      </c>
    </row>
    <row r="45" customFormat="false" ht="15" hidden="false" customHeight="false" outlineLevel="0" collapsed="false">
      <c r="A45" s="13" t="n">
        <f aca="false">Calc_A!A30</f>
        <v>46692</v>
      </c>
      <c r="B45" s="9" t="n">
        <f aca="false">Calc_A!AG30</f>
        <v>-1.65513367816632</v>
      </c>
      <c r="C45" s="9" t="n">
        <f aca="false">Calc_B!AG30</f>
        <v>-1.58890890241489</v>
      </c>
      <c r="D45" s="9" t="n">
        <f aca="false">Calc_C!AG30</f>
        <v>-1.3902345751606</v>
      </c>
      <c r="E45" s="9" t="n">
        <f aca="false">Calc_A!AH30</f>
        <v>-11.8229762820087</v>
      </c>
      <c r="F45" s="9" t="n">
        <f aca="false">Calc_B!AH30</f>
        <v>-11.6999874127561</v>
      </c>
      <c r="G45" s="9" t="n">
        <f aca="false">Calc_C!AH30</f>
        <v>-11.2080319357455</v>
      </c>
    </row>
    <row r="46" customFormat="false" ht="15" hidden="false" customHeight="false" outlineLevel="0" collapsed="false">
      <c r="A46" s="13" t="n">
        <f aca="false">Calc_A!A31</f>
        <v>46722</v>
      </c>
      <c r="B46" s="9" t="n">
        <f aca="false">Calc_A!AG31</f>
        <v>1.98649302761759</v>
      </c>
      <c r="C46" s="9" t="n">
        <f aca="false">Calc_B!AG31</f>
        <v>1.7972793826135</v>
      </c>
      <c r="D46" s="9" t="n">
        <f aca="false">Calc_C!AG31</f>
        <v>1.22963844760125</v>
      </c>
      <c r="E46" s="9" t="n">
        <f aca="false">Calc_A!AH31</f>
        <v>-9.83648325439114</v>
      </c>
      <c r="F46" s="9" t="n">
        <f aca="false">Calc_B!AH31</f>
        <v>-9.90270803014258</v>
      </c>
      <c r="G46" s="9" t="n">
        <f aca="false">Calc_C!AH31</f>
        <v>-9.97839348814421</v>
      </c>
    </row>
    <row r="48" customFormat="false" ht="15" hidden="false" customHeight="false" outlineLevel="0" collapsed="false">
      <c r="A48" s="12" t="s">
        <v>77</v>
      </c>
    </row>
    <row r="49" customFormat="false" ht="23.85" hidden="false" customHeight="false" outlineLevel="0" collapsed="false">
      <c r="A49" s="6" t="s">
        <v>70</v>
      </c>
      <c r="B49" s="6" t="s">
        <v>71</v>
      </c>
      <c r="C49" s="6" t="s">
        <v>72</v>
      </c>
      <c r="D49" s="6" t="s">
        <v>73</v>
      </c>
      <c r="E49" s="6" t="s">
        <v>78</v>
      </c>
      <c r="F49" s="6" t="s">
        <v>79</v>
      </c>
    </row>
    <row r="50" customFormat="false" ht="15" hidden="false" customHeight="false" outlineLevel="0" collapsed="false">
      <c r="A50" s="13" t="n">
        <f aca="false">Calc_A!A20</f>
        <v>46388</v>
      </c>
      <c r="B50" s="9" t="n">
        <f aca="false">Calc_A!AE20</f>
        <v>6.9983567703774</v>
      </c>
      <c r="C50" s="9" t="n">
        <f aca="false">Calc_B!AE20</f>
        <v>6.9983567703774</v>
      </c>
      <c r="D50" s="9" t="n">
        <f aca="false">Calc_C!AE20</f>
        <v>6.9983567703774</v>
      </c>
      <c r="E50" s="9" t="n">
        <f aca="false">Calc_A!AF20</f>
        <v>10.0343578783113</v>
      </c>
      <c r="F50" s="9" t="n">
        <f aca="false">Calc_A!AI20</f>
        <v>4.14364388547174</v>
      </c>
    </row>
    <row r="51" customFormat="false" ht="15" hidden="false" customHeight="false" outlineLevel="0" collapsed="false">
      <c r="A51" s="13" t="n">
        <f aca="false">Calc_A!A21</f>
        <v>46419</v>
      </c>
      <c r="B51" s="9" t="n">
        <f aca="false">Calc_A!AE21</f>
        <v>3.07875379064257</v>
      </c>
      <c r="C51" s="9" t="n">
        <f aca="false">Calc_B!AE21</f>
        <v>3.07875379064257</v>
      </c>
      <c r="D51" s="9" t="n">
        <f aca="false">Calc_C!AE21</f>
        <v>3.07875379064257</v>
      </c>
      <c r="E51" s="9" t="n">
        <f aca="false">Calc_A!AF21</f>
        <v>10.0697854570036</v>
      </c>
      <c r="F51" s="9" t="n">
        <f aca="false">Calc_A!AI21</f>
        <v>5.63680306521097</v>
      </c>
    </row>
    <row r="52" customFormat="false" ht="15" hidden="false" customHeight="false" outlineLevel="0" collapsed="false">
      <c r="A52" s="13" t="n">
        <f aca="false">Calc_A!A22</f>
        <v>46447</v>
      </c>
      <c r="B52" s="9" t="n">
        <f aca="false">Calc_A!AE22</f>
        <v>2.71694948671059</v>
      </c>
      <c r="C52" s="9" t="n">
        <f aca="false">Calc_B!AE22</f>
        <v>2.71694948671059</v>
      </c>
      <c r="D52" s="9" t="n">
        <f aca="false">Calc_C!AE22</f>
        <v>2.71694948671059</v>
      </c>
      <c r="E52" s="9" t="n">
        <f aca="false">Calc_A!AF22</f>
        <v>10.1053381172754</v>
      </c>
      <c r="F52" s="9" t="n">
        <f aca="false">Calc_A!AI22</f>
        <v>3.52212036761722</v>
      </c>
    </row>
    <row r="53" customFormat="false" ht="15" hidden="false" customHeight="false" outlineLevel="0" collapsed="false">
      <c r="A53" s="13" t="n">
        <f aca="false">Calc_A!A23</f>
        <v>46478</v>
      </c>
      <c r="B53" s="9" t="n">
        <f aca="false">Calc_A!AE23</f>
        <v>8.52195944956972</v>
      </c>
      <c r="C53" s="9" t="n">
        <f aca="false">Calc_B!AE23</f>
        <v>7.09150429333885</v>
      </c>
      <c r="D53" s="9" t="n">
        <f aca="false">Calc_C!AE23</f>
        <v>7.09150429333885</v>
      </c>
      <c r="E53" s="9" t="n">
        <f aca="false">Calc_A!AF23</f>
        <v>10.1410163007431</v>
      </c>
      <c r="F53" s="9" t="n">
        <f aca="false">Calc_A!AI23</f>
        <v>3.86288698873413</v>
      </c>
    </row>
    <row r="54" customFormat="false" ht="15" hidden="false" customHeight="false" outlineLevel="0" collapsed="false">
      <c r="A54" s="13" t="n">
        <f aca="false">Calc_A!A24</f>
        <v>46508</v>
      </c>
      <c r="B54" s="9" t="n">
        <f aca="false">Calc_A!AE24</f>
        <v>13.4229419460204</v>
      </c>
      <c r="C54" s="9" t="n">
        <f aca="false">Calc_B!AE24</f>
        <v>11.4475514921777</v>
      </c>
      <c r="D54" s="9" t="n">
        <f aca="false">Calc_C!AE24</f>
        <v>10.0170963359469</v>
      </c>
      <c r="E54" s="9" t="n">
        <f aca="false">Calc_A!AF24</f>
        <v>10.1768204505823</v>
      </c>
      <c r="F54" s="9" t="n">
        <f aca="false">Calc_A!AI24</f>
        <v>4.49503124163144</v>
      </c>
    </row>
    <row r="55" customFormat="false" ht="15" hidden="false" customHeight="false" outlineLevel="0" collapsed="false">
      <c r="A55" s="13" t="n">
        <f aca="false">Calc_A!A25</f>
        <v>46539</v>
      </c>
      <c r="B55" s="9" t="n">
        <f aca="false">Calc_A!AE25</f>
        <v>11.908196289358</v>
      </c>
      <c r="C55" s="9" t="n">
        <f aca="false">Calc_B!AE25</f>
        <v>13.4936174208472</v>
      </c>
      <c r="D55" s="9" t="n">
        <f aca="false">Calc_C!AE25</f>
        <v>10.0877718107737</v>
      </c>
      <c r="E55" s="9" t="n">
        <f aca="false">Calc_A!AF25</f>
        <v>10.2127510115333</v>
      </c>
      <c r="F55" s="9" t="n">
        <f aca="false">Calc_A!AI25</f>
        <v>4.46095614118843</v>
      </c>
    </row>
    <row r="56" customFormat="false" ht="15" hidden="false" customHeight="false" outlineLevel="0" collapsed="false">
      <c r="A56" s="13" t="n">
        <f aca="false">Calc_A!A26</f>
        <v>46569</v>
      </c>
      <c r="B56" s="9" t="n">
        <f aca="false">Calc_A!AE26</f>
        <v>13.5908556695942</v>
      </c>
      <c r="C56" s="9" t="n">
        <f aca="false">Calc_B!AE26</f>
        <v>15.5910331109323</v>
      </c>
      <c r="D56" s="9" t="n">
        <f aca="false">Calc_C!AE26</f>
        <v>13.3921813423399</v>
      </c>
      <c r="E56" s="9" t="n">
        <f aca="false">Calc_A!AF26</f>
        <v>10.2488084299066</v>
      </c>
      <c r="F56" s="9" t="n">
        <f aca="false">Calc_A!AI26</f>
        <v>5.83963396547176</v>
      </c>
    </row>
    <row r="57" customFormat="false" ht="15" hidden="false" customHeight="false" outlineLevel="0" collapsed="false">
      <c r="A57" s="13" t="n">
        <f aca="false">Calc_A!A27</f>
        <v>46600</v>
      </c>
      <c r="B57" s="9" t="n">
        <f aca="false">Calc_A!AE27</f>
        <v>9.80982528791029</v>
      </c>
      <c r="C57" s="9" t="n">
        <f aca="false">Calc_B!AE27</f>
        <v>9.80982528791029</v>
      </c>
      <c r="D57" s="9" t="n">
        <f aca="false">Calc_C!AE27</f>
        <v>11.6092470518991</v>
      </c>
      <c r="E57" s="9" t="n">
        <f aca="false">Calc_A!AF27</f>
        <v>10.2849931535887</v>
      </c>
      <c r="F57" s="9" t="n">
        <f aca="false">Calc_A!AI27</f>
        <v>3.88648969940325</v>
      </c>
    </row>
    <row r="58" customFormat="false" ht="15" hidden="false" customHeight="false" outlineLevel="0" collapsed="false">
      <c r="A58" s="13" t="n">
        <f aca="false">Calc_A!A28</f>
        <v>46631</v>
      </c>
      <c r="B58" s="9" t="n">
        <f aca="false">Calc_A!AE28</f>
        <v>11.8172102583346</v>
      </c>
      <c r="C58" s="9" t="n">
        <f aca="false">Calc_B!AE28</f>
        <v>11.694221389082</v>
      </c>
      <c r="D58" s="9" t="n">
        <f aca="false">Calc_C!AE28</f>
        <v>15.033842223404</v>
      </c>
      <c r="E58" s="9" t="n">
        <f aca="false">Calc_A!AF28</f>
        <v>10.321305632047</v>
      </c>
      <c r="F58" s="9" t="n">
        <f aca="false">Calc_A!AI28</f>
        <v>6.46522102319659</v>
      </c>
    </row>
    <row r="59" customFormat="false" ht="15" hidden="false" customHeight="false" outlineLevel="0" collapsed="false">
      <c r="A59" s="13" t="n">
        <f aca="false">Calc_A!A29</f>
        <v>46661</v>
      </c>
      <c r="B59" s="9" t="n">
        <f aca="false">Calc_A!AE29</f>
        <v>9.92003119496711</v>
      </c>
      <c r="C59" s="9" t="n">
        <f aca="false">Calc_B!AE29</f>
        <v>9.92003119496711</v>
      </c>
      <c r="D59" s="9" t="n">
        <f aca="false">Calc_C!AE29</f>
        <v>12.1094222813094</v>
      </c>
      <c r="E59" s="9" t="n">
        <f aca="false">Calc_A!AF29</f>
        <v>10.357746316336</v>
      </c>
      <c r="F59" s="9" t="n">
        <f aca="false">Calc_A!AI29</f>
        <v>3.44784314129058</v>
      </c>
    </row>
    <row r="60" customFormat="false" ht="15" hidden="false" customHeight="false" outlineLevel="0" collapsed="false">
      <c r="A60" s="13" t="n">
        <f aca="false">Calc_A!A30</f>
        <v>46692</v>
      </c>
      <c r="B60" s="9" t="n">
        <f aca="false">Calc_A!AE30</f>
        <v>8.73918198093657</v>
      </c>
      <c r="C60" s="9" t="n">
        <f aca="false">Calc_B!AE30</f>
        <v>8.805406756688</v>
      </c>
      <c r="D60" s="9" t="n">
        <f aca="false">Calc_C!AE30</f>
        <v>9.00408108394228</v>
      </c>
      <c r="E60" s="9" t="n">
        <f aca="false">Calc_A!AF30</f>
        <v>10.3943156591029</v>
      </c>
      <c r="F60" s="9" t="n">
        <f aca="false">Calc_A!AI30</f>
        <v>4.47427905302635</v>
      </c>
    </row>
    <row r="61" customFormat="false" ht="15" hidden="false" customHeight="false" outlineLevel="0" collapsed="false">
      <c r="A61" s="13" t="n">
        <f aca="false">Calc_A!A31</f>
        <v>46722</v>
      </c>
      <c r="B61" s="9" t="n">
        <f aca="false">Calc_A!AE31</f>
        <v>12.4175071422103</v>
      </c>
      <c r="C61" s="9" t="n">
        <f aca="false">Calc_B!AE31</f>
        <v>12.2282934972062</v>
      </c>
      <c r="D61" s="9" t="n">
        <f aca="false">Calc_C!AE31</f>
        <v>11.6606525621939</v>
      </c>
      <c r="E61" s="9" t="n">
        <f aca="false">Calc_A!AF31</f>
        <v>10.4310141145927</v>
      </c>
      <c r="F61" s="9" t="n">
        <f aca="false">Calc_A!AI31</f>
        <v>7.61602043178052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8"/>
    <col collapsed="false" customWidth="true" hidden="false" outlineLevel="0" max="4" min="3" style="0" width="20"/>
    <col collapsed="false" customWidth="true" hidden="false" outlineLevel="0" max="5" min="5" style="0" width="70"/>
    <col collapsed="false" customWidth="true" hidden="false" outlineLevel="0" max="6" min="6" style="0" width="26"/>
  </cols>
  <sheetData>
    <row r="1" customFormat="false" ht="24" hidden="false" customHeight="true" outlineLevel="0" collapsed="false">
      <c r="A1" s="1" t="s">
        <v>80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81</v>
      </c>
    </row>
    <row r="4" customFormat="false" ht="15" hidden="false" customHeight="false" outlineLevel="0" collapsed="false">
      <c r="A4" s="6" t="s">
        <v>82</v>
      </c>
      <c r="B4" s="6" t="s">
        <v>83</v>
      </c>
      <c r="C4" s="6" t="s">
        <v>84</v>
      </c>
      <c r="D4" s="6" t="s">
        <v>85</v>
      </c>
      <c r="E4" s="6" t="s">
        <v>86</v>
      </c>
      <c r="F4" s="6" t="s">
        <v>87</v>
      </c>
    </row>
    <row r="5" customFormat="false" ht="15" hidden="false" customHeight="false" outlineLevel="0" collapsed="false">
      <c r="A5" s="14" t="s">
        <v>88</v>
      </c>
      <c r="B5" s="8"/>
      <c r="C5" s="8"/>
      <c r="D5" s="8"/>
      <c r="E5" s="8"/>
      <c r="F5" s="8"/>
    </row>
    <row r="6" customFormat="false" ht="15" hidden="false" customHeight="false" outlineLevel="0" collapsed="false">
      <c r="A6" s="15"/>
      <c r="B6" s="16" t="s">
        <v>89</v>
      </c>
      <c r="C6" s="17" t="n">
        <v>0.1</v>
      </c>
      <c r="D6" s="16" t="s">
        <v>90</v>
      </c>
      <c r="E6" s="16" t="s">
        <v>91</v>
      </c>
      <c r="F6" s="16" t="s">
        <v>92</v>
      </c>
    </row>
    <row r="7" customFormat="false" ht="23.85" hidden="false" customHeight="false" outlineLevel="0" collapsed="false">
      <c r="A7" s="15"/>
      <c r="B7" s="16" t="s">
        <v>93</v>
      </c>
      <c r="C7" s="18" t="n">
        <v>6.25</v>
      </c>
      <c r="D7" s="16" t="s">
        <v>94</v>
      </c>
      <c r="E7" s="16" t="s">
        <v>95</v>
      </c>
      <c r="F7" s="16" t="s">
        <v>96</v>
      </c>
    </row>
    <row r="8" customFormat="false" ht="23.85" hidden="false" customHeight="false" outlineLevel="0" collapsed="false">
      <c r="A8" s="15"/>
      <c r="B8" s="16" t="s">
        <v>97</v>
      </c>
      <c r="C8" s="19" t="n">
        <v>0.05406574</v>
      </c>
      <c r="D8" s="16" t="s">
        <v>98</v>
      </c>
      <c r="E8" s="16" t="s">
        <v>99</v>
      </c>
      <c r="F8" s="16" t="s">
        <v>100</v>
      </c>
    </row>
    <row r="9" customFormat="false" ht="23.85" hidden="false" customHeight="false" outlineLevel="0" collapsed="false">
      <c r="A9" s="15"/>
      <c r="B9" s="16" t="s">
        <v>101</v>
      </c>
      <c r="C9" s="20" t="n">
        <f aca="false">cap_pct*part_ter</f>
        <v>0.005406574</v>
      </c>
      <c r="D9" s="16" t="s">
        <v>102</v>
      </c>
      <c r="E9" s="16" t="s">
        <v>103</v>
      </c>
      <c r="F9" s="16" t="s">
        <v>104</v>
      </c>
    </row>
    <row r="10" customFormat="false" ht="35.05" hidden="false" customHeight="false" outlineLevel="0" collapsed="false">
      <c r="A10" s="15"/>
      <c r="B10" s="16" t="s">
        <v>105</v>
      </c>
      <c r="C10" s="17" t="n">
        <v>0.2</v>
      </c>
      <c r="D10" s="16" t="s">
        <v>98</v>
      </c>
      <c r="E10" s="16" t="s">
        <v>106</v>
      </c>
      <c r="F10" s="16" t="s">
        <v>96</v>
      </c>
    </row>
    <row r="11" customFormat="false" ht="15" hidden="false" customHeight="false" outlineLevel="0" collapsed="false">
      <c r="A11" s="14" t="s">
        <v>107</v>
      </c>
      <c r="B11" s="8"/>
      <c r="C11" s="8"/>
      <c r="D11" s="8"/>
      <c r="E11" s="8"/>
      <c r="F11" s="8"/>
    </row>
    <row r="12" customFormat="false" ht="15" hidden="false" customHeight="false" outlineLevel="0" collapsed="false">
      <c r="A12" s="15"/>
      <c r="B12" s="16" t="s">
        <v>108</v>
      </c>
      <c r="C12" s="17" t="n">
        <v>0.215</v>
      </c>
      <c r="D12" s="16" t="s">
        <v>109</v>
      </c>
      <c r="E12" s="16" t="s">
        <v>110</v>
      </c>
      <c r="F12" s="16" t="s">
        <v>96</v>
      </c>
    </row>
    <row r="13" customFormat="false" ht="15" hidden="false" customHeight="false" outlineLevel="0" collapsed="false">
      <c r="A13" s="15"/>
      <c r="B13" s="16" t="s">
        <v>111</v>
      </c>
      <c r="C13" s="17" t="n">
        <v>0.225</v>
      </c>
      <c r="D13" s="16" t="s">
        <v>109</v>
      </c>
      <c r="E13" s="16" t="s">
        <v>112</v>
      </c>
      <c r="F13" s="16" t="s">
        <v>96</v>
      </c>
    </row>
    <row r="14" customFormat="false" ht="15" hidden="false" customHeight="false" outlineLevel="0" collapsed="false">
      <c r="A14" s="15"/>
      <c r="B14" s="16" t="s">
        <v>113</v>
      </c>
      <c r="C14" s="17" t="n">
        <v>0.03</v>
      </c>
      <c r="D14" s="16" t="s">
        <v>109</v>
      </c>
      <c r="E14" s="16" t="s">
        <v>114</v>
      </c>
      <c r="F14" s="16" t="s">
        <v>96</v>
      </c>
    </row>
    <row r="15" customFormat="false" ht="15" hidden="false" customHeight="false" outlineLevel="0" collapsed="false">
      <c r="A15" s="15"/>
      <c r="B15" s="16" t="s">
        <v>115</v>
      </c>
      <c r="C15" s="17" t="n">
        <v>0.03</v>
      </c>
      <c r="D15" s="16" t="s">
        <v>109</v>
      </c>
      <c r="E15" s="16" t="s">
        <v>116</v>
      </c>
      <c r="F15" s="16" t="s">
        <v>96</v>
      </c>
    </row>
    <row r="16" customFormat="false" ht="15" hidden="false" customHeight="false" outlineLevel="0" collapsed="false">
      <c r="A16" s="15"/>
      <c r="B16" s="16" t="s">
        <v>117</v>
      </c>
      <c r="C16" s="17" t="n">
        <v>0.1</v>
      </c>
      <c r="D16" s="16" t="s">
        <v>109</v>
      </c>
      <c r="E16" s="16" t="s">
        <v>118</v>
      </c>
      <c r="F16" s="16" t="s">
        <v>96</v>
      </c>
    </row>
    <row r="17" customFormat="false" ht="15" hidden="false" customHeight="false" outlineLevel="0" collapsed="false">
      <c r="A17" s="15"/>
      <c r="B17" s="16" t="s">
        <v>119</v>
      </c>
      <c r="C17" s="17" t="n">
        <v>0.01</v>
      </c>
      <c r="D17" s="16" t="s">
        <v>109</v>
      </c>
      <c r="E17" s="16" t="s">
        <v>120</v>
      </c>
      <c r="F17" s="16" t="s">
        <v>96</v>
      </c>
    </row>
    <row r="18" customFormat="false" ht="15" hidden="false" customHeight="false" outlineLevel="0" collapsed="false">
      <c r="A18" s="15"/>
      <c r="B18" s="16" t="s">
        <v>121</v>
      </c>
      <c r="C18" s="21" t="n">
        <f aca="false">p_fpe+p_fpm_reg+p_fpm_ext+p_fin+p_ipiex</f>
        <v>0.6</v>
      </c>
      <c r="D18" s="16" t="s">
        <v>109</v>
      </c>
      <c r="E18" s="16" t="s">
        <v>122</v>
      </c>
      <c r="F18" s="16" t="s">
        <v>104</v>
      </c>
    </row>
    <row r="19" customFormat="false" ht="15" hidden="false" customHeight="false" outlineLevel="0" collapsed="false">
      <c r="A19" s="15"/>
      <c r="B19" s="16" t="s">
        <v>123</v>
      </c>
      <c r="C19" s="21" t="n">
        <f aca="false">p_all-p_fpm_ext</f>
        <v>0.57</v>
      </c>
      <c r="D19" s="16" t="s">
        <v>109</v>
      </c>
      <c r="E19" s="16" t="s">
        <v>122</v>
      </c>
      <c r="F19" s="16" t="s">
        <v>104</v>
      </c>
    </row>
    <row r="20" customFormat="false" ht="15" hidden="false" customHeight="false" outlineLevel="0" collapsed="false">
      <c r="A20" s="15"/>
      <c r="B20" s="16" t="s">
        <v>124</v>
      </c>
      <c r="C20" s="21" t="n">
        <f aca="false">p_fpm_reg+p_fpm_ext</f>
        <v>0.255</v>
      </c>
      <c r="D20" s="16" t="s">
        <v>109</v>
      </c>
      <c r="E20" s="16" t="s">
        <v>122</v>
      </c>
      <c r="F20" s="16" t="s">
        <v>104</v>
      </c>
    </row>
    <row r="21" customFormat="false" ht="15" hidden="false" customHeight="false" outlineLevel="0" collapsed="false">
      <c r="A21" s="14" t="s">
        <v>125</v>
      </c>
      <c r="B21" s="8"/>
      <c r="C21" s="8"/>
      <c r="D21" s="8"/>
      <c r="E21" s="8"/>
      <c r="F21" s="8"/>
    </row>
    <row r="22" customFormat="false" ht="23.85" hidden="false" customHeight="false" outlineLevel="0" collapsed="false">
      <c r="A22" s="15"/>
      <c r="B22" s="16" t="s">
        <v>126</v>
      </c>
      <c r="C22" s="22" t="n">
        <v>33777.6</v>
      </c>
      <c r="D22" s="16" t="s">
        <v>127</v>
      </c>
      <c r="E22" s="16" t="s">
        <v>128</v>
      </c>
      <c r="F22" s="16" t="s">
        <v>29</v>
      </c>
    </row>
    <row r="23" customFormat="false" ht="15" hidden="false" customHeight="false" outlineLevel="0" collapsed="false">
      <c r="A23" s="15"/>
      <c r="B23" s="16" t="s">
        <v>129</v>
      </c>
      <c r="C23" s="17" t="n">
        <v>0.02</v>
      </c>
      <c r="D23" s="16" t="s">
        <v>98</v>
      </c>
      <c r="E23" s="16" t="s">
        <v>130</v>
      </c>
      <c r="F23" s="16" t="s">
        <v>96</v>
      </c>
    </row>
    <row r="24" customFormat="false" ht="15" hidden="false" customHeight="false" outlineLevel="0" collapsed="false">
      <c r="A24" s="15"/>
      <c r="B24" s="16" t="s">
        <v>131</v>
      </c>
      <c r="C24" s="23" t="n">
        <v>2</v>
      </c>
      <c r="D24" s="16" t="s">
        <v>132</v>
      </c>
      <c r="E24" s="16" t="s">
        <v>133</v>
      </c>
      <c r="F24" s="16" t="s">
        <v>96</v>
      </c>
    </row>
    <row r="25" customFormat="false" ht="23.85" hidden="false" customHeight="false" outlineLevel="0" collapsed="false">
      <c r="A25" s="15"/>
      <c r="B25" s="16" t="s">
        <v>134</v>
      </c>
      <c r="C25" s="24" t="n">
        <v>0</v>
      </c>
      <c r="D25" s="16" t="s">
        <v>135</v>
      </c>
      <c r="E25" s="16" t="s">
        <v>136</v>
      </c>
      <c r="F25" s="16" t="s">
        <v>137</v>
      </c>
    </row>
    <row r="26" customFormat="false" ht="23.85" hidden="false" customHeight="false" outlineLevel="0" collapsed="false">
      <c r="A26" s="15"/>
      <c r="B26" s="16" t="s">
        <v>138</v>
      </c>
      <c r="C26" s="22"/>
      <c r="D26" s="16" t="s">
        <v>127</v>
      </c>
      <c r="E26" s="16" t="s">
        <v>139</v>
      </c>
      <c r="F26" s="16" t="s">
        <v>140</v>
      </c>
    </row>
    <row r="27" customFormat="false" ht="23.85" hidden="false" customHeight="false" outlineLevel="0" collapsed="false">
      <c r="A27" s="15"/>
      <c r="B27" s="16" t="s">
        <v>141</v>
      </c>
      <c r="C27" s="25" t="n">
        <f aca="false">IF(ISNUMBER(ref_override),ref_override,IF(ISNUMBER(ref_LC_anual),ref_LC_anual,ref_implied))</f>
        <v>64883.0492661198</v>
      </c>
      <c r="D27" s="16" t="s">
        <v>127</v>
      </c>
      <c r="E27" s="16" t="s">
        <v>142</v>
      </c>
      <c r="F27" s="16" t="s">
        <v>104</v>
      </c>
    </row>
    <row r="28" customFormat="false" ht="23.85" hidden="false" customHeight="false" outlineLevel="0" collapsed="false">
      <c r="A28" s="15"/>
      <c r="B28" s="16" t="s">
        <v>143</v>
      </c>
      <c r="C28" s="16" t="str">
        <f aca="false">IF(ISNUMBER(ref_override),"(1) Valor oficial informado",IF(ISNUMBER(ref_LC_anual),"(2) Art. 478 com série histórica","(3) Implícita no PLN 24/2026 (provisória)"))</f>
        <v>(2) Art. 478 com série histórica</v>
      </c>
      <c r="D28" s="16" t="s">
        <v>144</v>
      </c>
      <c r="E28" s="16" t="s">
        <v>145</v>
      </c>
      <c r="F28" s="16" t="s">
        <v>104</v>
      </c>
    </row>
    <row r="29" customFormat="false" ht="15" hidden="false" customHeight="false" outlineLevel="0" collapsed="false">
      <c r="A29" s="14" t="s">
        <v>146</v>
      </c>
      <c r="B29" s="8"/>
      <c r="C29" s="8"/>
      <c r="D29" s="8"/>
      <c r="E29" s="8"/>
      <c r="F29" s="8"/>
    </row>
    <row r="30" customFormat="false" ht="35.05" hidden="false" customHeight="false" outlineLevel="0" collapsed="false">
      <c r="A30" s="15"/>
      <c r="B30" s="16" t="s">
        <v>147</v>
      </c>
      <c r="C30" s="24" t="n">
        <v>1</v>
      </c>
      <c r="D30" s="16" t="s">
        <v>132</v>
      </c>
      <c r="E30" s="16" t="s">
        <v>148</v>
      </c>
      <c r="F30" s="16" t="s">
        <v>149</v>
      </c>
    </row>
    <row r="31" customFormat="false" ht="46.25" hidden="false" customHeight="false" outlineLevel="0" collapsed="false">
      <c r="A31" s="15"/>
      <c r="B31" s="16" t="s">
        <v>150</v>
      </c>
      <c r="C31" s="26" t="n">
        <v>0.42</v>
      </c>
      <c r="D31" s="16" t="s">
        <v>98</v>
      </c>
      <c r="E31" s="16" t="s">
        <v>151</v>
      </c>
      <c r="F31" s="16" t="s">
        <v>152</v>
      </c>
    </row>
    <row r="32" customFormat="false" ht="23.85" hidden="false" customHeight="false" outlineLevel="0" collapsed="false">
      <c r="A32" s="15"/>
      <c r="B32" s="16" t="s">
        <v>153</v>
      </c>
      <c r="C32" s="17" t="n">
        <v>0.58</v>
      </c>
      <c r="D32" s="16" t="s">
        <v>98</v>
      </c>
      <c r="E32" s="16" t="s">
        <v>154</v>
      </c>
      <c r="F32" s="16" t="s">
        <v>152</v>
      </c>
    </row>
    <row r="33" customFormat="false" ht="15" hidden="false" customHeight="false" outlineLevel="0" collapsed="false">
      <c r="A33" s="14" t="s">
        <v>155</v>
      </c>
      <c r="B33" s="8"/>
      <c r="C33" s="8"/>
      <c r="D33" s="8"/>
      <c r="E33" s="8"/>
      <c r="F33" s="8"/>
    </row>
    <row r="34" customFormat="false" ht="48" hidden="false" customHeight="true" outlineLevel="0" collapsed="false">
      <c r="A34" s="6"/>
      <c r="B34" s="6" t="s">
        <v>156</v>
      </c>
      <c r="C34" s="6" t="s">
        <v>157</v>
      </c>
      <c r="D34" s="6" t="s">
        <v>158</v>
      </c>
      <c r="E34" s="6" t="s">
        <v>159</v>
      </c>
      <c r="F34" s="6" t="s">
        <v>160</v>
      </c>
    </row>
    <row r="35" customFormat="false" ht="102.2" hidden="false" customHeight="false" outlineLevel="0" collapsed="false">
      <c r="B35" s="5" t="s">
        <v>161</v>
      </c>
      <c r="C35" s="27" t="n">
        <v>3</v>
      </c>
      <c r="D35" s="27" t="n">
        <v>4</v>
      </c>
      <c r="E35" s="27" t="n">
        <v>7</v>
      </c>
      <c r="F35" s="5" t="s">
        <v>162</v>
      </c>
    </row>
    <row r="36" customFormat="false" ht="23.85" hidden="false" customHeight="false" outlineLevel="0" collapsed="false">
      <c r="B36" s="5" t="s">
        <v>163</v>
      </c>
      <c r="C36" s="27" t="n">
        <v>1</v>
      </c>
      <c r="D36" s="27" t="n">
        <v>1</v>
      </c>
      <c r="E36" s="27" t="n">
        <v>1</v>
      </c>
      <c r="F36" s="5" t="s">
        <v>164</v>
      </c>
    </row>
    <row r="37" customFormat="false" ht="46.25" hidden="false" customHeight="false" outlineLevel="0" collapsed="false">
      <c r="B37" s="5" t="s">
        <v>165</v>
      </c>
      <c r="C37" s="28" t="n">
        <v>1</v>
      </c>
      <c r="D37" s="28" t="n">
        <v>1</v>
      </c>
      <c r="E37" s="28" t="n">
        <v>1</v>
      </c>
      <c r="F37" s="5" t="s">
        <v>166</v>
      </c>
    </row>
    <row r="38" customFormat="false" ht="15" hidden="false" customHeight="false" outlineLevel="0" collapsed="false">
      <c r="A38" s="14" t="s">
        <v>167</v>
      </c>
      <c r="B38" s="8"/>
      <c r="C38" s="8"/>
      <c r="D38" s="8"/>
      <c r="E38" s="8"/>
      <c r="F38" s="8"/>
    </row>
    <row r="39" customFormat="false" ht="15" hidden="false" customHeight="false" outlineLevel="0" collapsed="false">
      <c r="A39" s="15"/>
      <c r="B39" s="16" t="s">
        <v>168</v>
      </c>
      <c r="C39" s="17" t="n">
        <v>0.0522</v>
      </c>
      <c r="D39" s="16" t="s">
        <v>169</v>
      </c>
      <c r="E39" s="16" t="s">
        <v>170</v>
      </c>
      <c r="F39" s="16" t="s">
        <v>96</v>
      </c>
    </row>
    <row r="40" customFormat="false" ht="15" hidden="false" customHeight="false" outlineLevel="0" collapsed="false">
      <c r="A40" s="15"/>
      <c r="B40" s="16" t="s">
        <v>171</v>
      </c>
      <c r="C40" s="17" t="n">
        <v>0.0432</v>
      </c>
      <c r="D40" s="16" t="s">
        <v>169</v>
      </c>
      <c r="E40" s="16" t="s">
        <v>172</v>
      </c>
      <c r="F40" s="16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80"/>
  </cols>
  <sheetData>
    <row r="1" customFormat="false" ht="24" hidden="false" customHeight="true" outlineLevel="0" collapsed="false">
      <c r="A1" s="1" t="s">
        <v>173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174</v>
      </c>
    </row>
    <row r="4" customFormat="false" ht="15" hidden="false" customHeight="false" outlineLevel="0" collapsed="false">
      <c r="A4" s="6" t="s">
        <v>175</v>
      </c>
      <c r="B4" s="6" t="s">
        <v>176</v>
      </c>
      <c r="C4" s="6" t="s">
        <v>84</v>
      </c>
      <c r="D4" s="6" t="s">
        <v>85</v>
      </c>
      <c r="E4" s="6" t="s">
        <v>177</v>
      </c>
    </row>
    <row r="5" customFormat="false" ht="15" hidden="false" customHeight="false" outlineLevel="0" collapsed="false">
      <c r="A5" s="14" t="s">
        <v>178</v>
      </c>
      <c r="B5" s="8"/>
      <c r="C5" s="8"/>
      <c r="D5" s="8"/>
      <c r="E5" s="8"/>
    </row>
    <row r="6" customFormat="false" ht="15" hidden="false" customHeight="false" outlineLevel="0" collapsed="false">
      <c r="A6" s="15"/>
      <c r="B6" s="16" t="s">
        <v>179</v>
      </c>
      <c r="C6" s="29" t="n">
        <v>258873.416495</v>
      </c>
      <c r="D6" s="16" t="s">
        <v>180</v>
      </c>
      <c r="E6" s="16" t="s">
        <v>181</v>
      </c>
    </row>
    <row r="7" customFormat="false" ht="15" hidden="false" customHeight="false" outlineLevel="0" collapsed="false">
      <c r="A7" s="15"/>
      <c r="B7" s="16" t="s">
        <v>182</v>
      </c>
      <c r="C7" s="29" t="n">
        <v>2469.45</v>
      </c>
      <c r="D7" s="16" t="s">
        <v>180</v>
      </c>
      <c r="E7" s="16" t="s">
        <v>183</v>
      </c>
    </row>
    <row r="8" customFormat="false" ht="15" hidden="false" customHeight="false" outlineLevel="0" collapsed="false">
      <c r="A8" s="15"/>
      <c r="B8" s="16" t="s">
        <v>184</v>
      </c>
      <c r="C8" s="29" t="n">
        <v>2959.592124</v>
      </c>
      <c r="D8" s="16" t="s">
        <v>180</v>
      </c>
      <c r="E8" s="16" t="s">
        <v>185</v>
      </c>
    </row>
    <row r="9" customFormat="false" ht="15" hidden="false" customHeight="false" outlineLevel="0" collapsed="false">
      <c r="A9" s="15"/>
      <c r="B9" s="16" t="s">
        <v>186</v>
      </c>
      <c r="C9" s="29" t="n">
        <v>0.181236</v>
      </c>
      <c r="D9" s="16" t="s">
        <v>180</v>
      </c>
      <c r="E9" s="16" t="s">
        <v>185</v>
      </c>
    </row>
    <row r="10" customFormat="false" ht="15" hidden="false" customHeight="false" outlineLevel="0" collapsed="false">
      <c r="A10" s="15"/>
      <c r="B10" s="16" t="s">
        <v>187</v>
      </c>
      <c r="C10" s="29" t="n">
        <v>938.374913</v>
      </c>
      <c r="D10" s="16" t="s">
        <v>180</v>
      </c>
      <c r="E10" s="16" t="s">
        <v>185</v>
      </c>
    </row>
    <row r="11" customFormat="false" ht="15" hidden="false" customHeight="false" outlineLevel="0" collapsed="false">
      <c r="A11" s="15"/>
      <c r="B11" s="16" t="s">
        <v>188</v>
      </c>
      <c r="C11" s="29" t="n">
        <v>2486.523958</v>
      </c>
      <c r="D11" s="16" t="s">
        <v>180</v>
      </c>
      <c r="E11" s="16" t="s">
        <v>185</v>
      </c>
    </row>
    <row r="12" customFormat="false" ht="15" hidden="false" customHeight="false" outlineLevel="0" collapsed="false">
      <c r="A12" s="15"/>
      <c r="B12" s="16" t="s">
        <v>189</v>
      </c>
      <c r="C12" s="29" t="n">
        <v>8610.431615</v>
      </c>
      <c r="D12" s="16" t="s">
        <v>180</v>
      </c>
      <c r="E12" s="16" t="s">
        <v>185</v>
      </c>
    </row>
    <row r="13" customFormat="false" ht="15" hidden="false" customHeight="false" outlineLevel="0" collapsed="false">
      <c r="A13" s="15"/>
      <c r="B13" s="16" t="s">
        <v>190</v>
      </c>
      <c r="C13" s="29" t="n">
        <v>24.303991</v>
      </c>
      <c r="D13" s="16" t="s">
        <v>180</v>
      </c>
      <c r="E13" s="16" t="s">
        <v>185</v>
      </c>
    </row>
    <row r="14" customFormat="false" ht="15" hidden="false" customHeight="false" outlineLevel="0" collapsed="false">
      <c r="A14" s="15"/>
      <c r="B14" s="16" t="s">
        <v>191</v>
      </c>
      <c r="C14" s="29" t="n">
        <v>9436.671023</v>
      </c>
      <c r="D14" s="16" t="s">
        <v>180</v>
      </c>
      <c r="E14" s="16" t="s">
        <v>185</v>
      </c>
    </row>
    <row r="15" customFormat="false" ht="15" hidden="false" customHeight="false" outlineLevel="0" collapsed="false">
      <c r="A15" s="15"/>
      <c r="B15" s="16" t="s">
        <v>192</v>
      </c>
      <c r="C15" s="29" t="n">
        <v>235.331919</v>
      </c>
      <c r="D15" s="16" t="s">
        <v>180</v>
      </c>
      <c r="E15" s="16" t="s">
        <v>185</v>
      </c>
    </row>
    <row r="16" customFormat="false" ht="15" hidden="false" customHeight="false" outlineLevel="0" collapsed="false">
      <c r="A16" s="15"/>
      <c r="B16" s="16" t="s">
        <v>193</v>
      </c>
      <c r="C16" s="29" t="n">
        <v>73.341358</v>
      </c>
      <c r="D16" s="16" t="s">
        <v>180</v>
      </c>
      <c r="E16" s="16" t="s">
        <v>185</v>
      </c>
    </row>
    <row r="17" customFormat="false" ht="15" hidden="false" customHeight="false" outlineLevel="0" collapsed="false">
      <c r="A17" s="15"/>
      <c r="B17" s="16" t="s">
        <v>194</v>
      </c>
      <c r="C17" s="29" t="n">
        <v>25.954085</v>
      </c>
      <c r="D17" s="16" t="s">
        <v>180</v>
      </c>
      <c r="E17" s="16" t="s">
        <v>185</v>
      </c>
    </row>
    <row r="18" customFormat="false" ht="15" hidden="false" customHeight="false" outlineLevel="0" collapsed="false">
      <c r="A18" s="15"/>
      <c r="B18" s="16" t="s">
        <v>195</v>
      </c>
      <c r="C18" s="29" t="n">
        <v>78.126834</v>
      </c>
      <c r="D18" s="16" t="s">
        <v>180</v>
      </c>
      <c r="E18" s="16" t="s">
        <v>185</v>
      </c>
    </row>
    <row r="19" customFormat="false" ht="15" hidden="false" customHeight="false" outlineLevel="0" collapsed="false">
      <c r="A19" s="15"/>
      <c r="B19" s="16" t="s">
        <v>196</v>
      </c>
      <c r="C19" s="29" t="n">
        <v>0.001615</v>
      </c>
      <c r="D19" s="16" t="s">
        <v>180</v>
      </c>
      <c r="E19" s="16" t="s">
        <v>185</v>
      </c>
    </row>
    <row r="20" customFormat="false" ht="15" hidden="false" customHeight="false" outlineLevel="0" collapsed="false">
      <c r="A20" s="15"/>
      <c r="B20" s="16" t="s">
        <v>197</v>
      </c>
      <c r="C20" s="29" t="n">
        <v>622.2</v>
      </c>
      <c r="D20" s="16" t="s">
        <v>180</v>
      </c>
      <c r="E20" s="16" t="s">
        <v>183</v>
      </c>
    </row>
    <row r="21" customFormat="false" ht="15" hidden="false" customHeight="false" outlineLevel="0" collapsed="false">
      <c r="A21" s="15"/>
      <c r="B21" s="16" t="s">
        <v>198</v>
      </c>
      <c r="C21" s="25" t="n">
        <f aca="false">SUM(C8:C19)</f>
        <v>24868.834671</v>
      </c>
      <c r="D21" s="16" t="s">
        <v>180</v>
      </c>
      <c r="E21" s="16" t="s">
        <v>199</v>
      </c>
    </row>
    <row r="22" customFormat="false" ht="15" hidden="false" customHeight="false" outlineLevel="0" collapsed="false">
      <c r="A22" s="15"/>
      <c r="B22" s="16" t="s">
        <v>200</v>
      </c>
      <c r="C22" s="25" t="n">
        <f aca="false">ipi_1201_26+loa_9201_ipi</f>
        <v>25491.034671</v>
      </c>
      <c r="D22" s="16" t="s">
        <v>180</v>
      </c>
      <c r="E22" s="16" t="s">
        <v>201</v>
      </c>
    </row>
    <row r="23" customFormat="false" ht="15" hidden="false" customHeight="false" outlineLevel="0" collapsed="false">
      <c r="A23" s="15"/>
      <c r="B23" s="16" t="s">
        <v>202</v>
      </c>
      <c r="C23" s="21" t="n">
        <f aca="false">(C12+C13)/ipi_1201_26</f>
        <v>0.347211106601192</v>
      </c>
      <c r="D23" s="16" t="s">
        <v>98</v>
      </c>
      <c r="E23" s="16" t="s">
        <v>203</v>
      </c>
    </row>
    <row r="24" customFormat="false" ht="15" hidden="false" customHeight="false" outlineLevel="0" collapsed="false">
      <c r="A24" s="15"/>
      <c r="B24" s="16" t="s">
        <v>204</v>
      </c>
      <c r="C24" s="25" t="n">
        <f aca="false">loa_1201+loa_9201</f>
        <v>261342.866495</v>
      </c>
      <c r="D24" s="16" t="s">
        <v>180</v>
      </c>
      <c r="E24" s="16" t="s">
        <v>201</v>
      </c>
    </row>
    <row r="25" customFormat="false" ht="15" hidden="false" customHeight="false" outlineLevel="0" collapsed="false">
      <c r="A25" s="15"/>
      <c r="B25" s="16" t="s">
        <v>205</v>
      </c>
      <c r="C25" s="25" t="n">
        <f aca="false">ipi_fpm_26/p_fpm</f>
        <v>99964.8418470588</v>
      </c>
      <c r="D25" s="16" t="s">
        <v>180</v>
      </c>
      <c r="E25" s="16" t="s">
        <v>206</v>
      </c>
    </row>
    <row r="26" customFormat="false" ht="15" hidden="false" customHeight="false" outlineLevel="0" collapsed="false">
      <c r="A26" s="14" t="s">
        <v>207</v>
      </c>
      <c r="B26" s="8"/>
      <c r="C26" s="8"/>
      <c r="D26" s="8"/>
      <c r="E26" s="8"/>
    </row>
    <row r="27" customFormat="false" ht="15" hidden="false" customHeight="false" outlineLevel="0" collapsed="false">
      <c r="A27" s="15"/>
      <c r="B27" s="16" t="s">
        <v>179</v>
      </c>
      <c r="C27" s="29" t="n">
        <v>251815.036377</v>
      </c>
      <c r="D27" s="16" t="s">
        <v>180</v>
      </c>
      <c r="E27" s="16" t="s">
        <v>208</v>
      </c>
    </row>
    <row r="28" customFormat="false" ht="15" hidden="false" customHeight="false" outlineLevel="0" collapsed="false">
      <c r="A28" s="15"/>
      <c r="B28" s="16" t="s">
        <v>209</v>
      </c>
      <c r="C28" s="29" t="n">
        <v>10709.06925</v>
      </c>
      <c r="D28" s="16" t="s">
        <v>180</v>
      </c>
      <c r="E28" s="16" t="s">
        <v>210</v>
      </c>
    </row>
    <row r="29" customFormat="false" ht="15" hidden="false" customHeight="false" outlineLevel="0" collapsed="false">
      <c r="A29" s="15"/>
      <c r="B29" s="16" t="s">
        <v>184</v>
      </c>
      <c r="C29" s="29" t="n">
        <v>363.171033</v>
      </c>
      <c r="D29" s="16" t="s">
        <v>180</v>
      </c>
      <c r="E29" s="16" t="s">
        <v>208</v>
      </c>
    </row>
    <row r="30" customFormat="false" ht="15" hidden="false" customHeight="false" outlineLevel="0" collapsed="false">
      <c r="A30" s="15"/>
      <c r="B30" s="16" t="s">
        <v>186</v>
      </c>
      <c r="C30" s="29" t="n">
        <v>2.3578E-005</v>
      </c>
      <c r="D30" s="16" t="s">
        <v>180</v>
      </c>
      <c r="E30" s="16" t="s">
        <v>208</v>
      </c>
    </row>
    <row r="31" customFormat="false" ht="15" hidden="false" customHeight="false" outlineLevel="0" collapsed="false">
      <c r="A31" s="15"/>
      <c r="B31" s="16" t="s">
        <v>187</v>
      </c>
      <c r="C31" s="29" t="n">
        <v>102.337399</v>
      </c>
      <c r="D31" s="16" t="s">
        <v>180</v>
      </c>
      <c r="E31" s="16" t="s">
        <v>208</v>
      </c>
    </row>
    <row r="32" customFormat="false" ht="15" hidden="false" customHeight="false" outlineLevel="0" collapsed="false">
      <c r="A32" s="15"/>
      <c r="B32" s="16" t="s">
        <v>188</v>
      </c>
      <c r="C32" s="29" t="n">
        <v>160.215073</v>
      </c>
      <c r="D32" s="16" t="s">
        <v>180</v>
      </c>
      <c r="E32" s="16" t="s">
        <v>208</v>
      </c>
    </row>
    <row r="33" customFormat="false" ht="15" hidden="false" customHeight="false" outlineLevel="0" collapsed="false">
      <c r="A33" s="15"/>
      <c r="B33" s="16" t="s">
        <v>190</v>
      </c>
      <c r="C33" s="29" t="n">
        <v>1.069704</v>
      </c>
      <c r="D33" s="16" t="s">
        <v>180</v>
      </c>
      <c r="E33" s="16" t="s">
        <v>208</v>
      </c>
    </row>
    <row r="34" customFormat="false" ht="15" hidden="false" customHeight="false" outlineLevel="0" collapsed="false">
      <c r="A34" s="15"/>
      <c r="B34" s="16" t="s">
        <v>191</v>
      </c>
      <c r="C34" s="29" t="n">
        <v>727.167822</v>
      </c>
      <c r="D34" s="16" t="s">
        <v>180</v>
      </c>
      <c r="E34" s="16" t="s">
        <v>208</v>
      </c>
    </row>
    <row r="35" customFormat="false" ht="15" hidden="false" customHeight="false" outlineLevel="0" collapsed="false">
      <c r="A35" s="15"/>
      <c r="B35" s="16" t="s">
        <v>192</v>
      </c>
      <c r="C35" s="29" t="n">
        <v>18.918905</v>
      </c>
      <c r="D35" s="16" t="s">
        <v>180</v>
      </c>
      <c r="E35" s="16" t="s">
        <v>208</v>
      </c>
    </row>
    <row r="36" customFormat="false" ht="15" hidden="false" customHeight="false" outlineLevel="0" collapsed="false">
      <c r="A36" s="15"/>
      <c r="B36" s="16" t="s">
        <v>193</v>
      </c>
      <c r="C36" s="29" t="n">
        <v>20.799172</v>
      </c>
      <c r="D36" s="16" t="s">
        <v>180</v>
      </c>
      <c r="E36" s="16" t="s">
        <v>208</v>
      </c>
    </row>
    <row r="37" customFormat="false" ht="15" hidden="false" customHeight="false" outlineLevel="0" collapsed="false">
      <c r="A37" s="15"/>
      <c r="B37" s="16" t="s">
        <v>194</v>
      </c>
      <c r="C37" s="29" t="n">
        <v>2.258073</v>
      </c>
      <c r="D37" s="16" t="s">
        <v>180</v>
      </c>
      <c r="E37" s="16" t="s">
        <v>208</v>
      </c>
    </row>
    <row r="38" customFormat="false" ht="15" hidden="false" customHeight="false" outlineLevel="0" collapsed="false">
      <c r="A38" s="15"/>
      <c r="B38" s="16" t="s">
        <v>195</v>
      </c>
      <c r="C38" s="29" t="n">
        <v>5.896292</v>
      </c>
      <c r="D38" s="16" t="s">
        <v>180</v>
      </c>
      <c r="E38" s="16" t="s">
        <v>208</v>
      </c>
    </row>
    <row r="39" customFormat="false" ht="15" hidden="false" customHeight="false" outlineLevel="0" collapsed="false">
      <c r="A39" s="15"/>
      <c r="B39" s="16" t="s">
        <v>211</v>
      </c>
      <c r="C39" s="29" t="n">
        <v>4199.635</v>
      </c>
      <c r="D39" s="16" t="s">
        <v>180</v>
      </c>
      <c r="E39" s="16" t="s">
        <v>212</v>
      </c>
    </row>
    <row r="40" customFormat="false" ht="15" hidden="false" customHeight="false" outlineLevel="0" collapsed="false">
      <c r="A40" s="15"/>
      <c r="B40" s="16" t="s">
        <v>213</v>
      </c>
      <c r="C40" s="25" t="n">
        <f aca="false">SUM(C29:C38)</f>
        <v>1401.833496578</v>
      </c>
      <c r="D40" s="16" t="s">
        <v>180</v>
      </c>
      <c r="E40" s="16" t="s">
        <v>199</v>
      </c>
    </row>
    <row r="41" customFormat="false" ht="15" hidden="false" customHeight="false" outlineLevel="0" collapsed="false">
      <c r="A41" s="15"/>
      <c r="B41" s="16" t="s">
        <v>214</v>
      </c>
      <c r="C41" s="25" t="n">
        <f aca="false">ploa_9201</f>
        <v>10709.06925</v>
      </c>
      <c r="D41" s="16" t="s">
        <v>180</v>
      </c>
      <c r="E41" s="16" t="s">
        <v>215</v>
      </c>
    </row>
    <row r="42" customFormat="false" ht="15" hidden="false" customHeight="false" outlineLevel="0" collapsed="false">
      <c r="A42" s="15"/>
      <c r="B42" s="16" t="s">
        <v>216</v>
      </c>
      <c r="C42" s="25" t="n">
        <f aca="false">ploa_1201+ploa_9201</f>
        <v>262524.105627</v>
      </c>
      <c r="D42" s="16" t="s">
        <v>180</v>
      </c>
      <c r="E42" s="16" t="s">
        <v>201</v>
      </c>
    </row>
    <row r="43" customFormat="false" ht="15" hidden="false" customHeight="false" outlineLevel="0" collapsed="false">
      <c r="A43" s="15"/>
      <c r="B43" s="16" t="s">
        <v>217</v>
      </c>
      <c r="C43" s="25" t="n">
        <f aca="false">ipi_fpm_27/p_fpm</f>
        <v>5497.3862610902</v>
      </c>
      <c r="D43" s="16" t="s">
        <v>180</v>
      </c>
      <c r="E43" s="16" t="s">
        <v>206</v>
      </c>
    </row>
    <row r="44" customFormat="false" ht="15" hidden="false" customHeight="false" outlineLevel="0" collapsed="false">
      <c r="A44" s="15"/>
      <c r="B44" s="16" t="s">
        <v>218</v>
      </c>
      <c r="C44" s="25" t="n">
        <f aca="false">is_fpm_27/p_fpm</f>
        <v>41996.35</v>
      </c>
      <c r="D44" s="16" t="s">
        <v>180</v>
      </c>
      <c r="E44" s="16" t="s">
        <v>219</v>
      </c>
    </row>
    <row r="45" customFormat="false" ht="15" hidden="false" customHeight="false" outlineLevel="0" collapsed="false">
      <c r="A45" s="15"/>
      <c r="B45" s="16" t="s">
        <v>220</v>
      </c>
      <c r="C45" s="25" t="n">
        <f aca="false">ploa_9203/p_ipiex</f>
        <v>41996.35</v>
      </c>
      <c r="D45" s="16" t="s">
        <v>180</v>
      </c>
      <c r="E45" s="16" t="s">
        <v>221</v>
      </c>
    </row>
    <row r="46" customFormat="false" ht="15" hidden="false" customHeight="false" outlineLevel="0" collapsed="false">
      <c r="A46" s="15"/>
      <c r="B46" s="16" t="s">
        <v>222</v>
      </c>
      <c r="C46" s="25" t="n">
        <f aca="false">is_tot_27-is_tot_27_chk</f>
        <v>0</v>
      </c>
      <c r="D46" s="16" t="s">
        <v>180</v>
      </c>
      <c r="E46" s="16" t="s">
        <v>223</v>
      </c>
    </row>
    <row r="47" customFormat="false" ht="15" hidden="false" customHeight="false" outlineLevel="0" collapsed="false">
      <c r="A47" s="15"/>
      <c r="B47" s="16" t="s">
        <v>224</v>
      </c>
      <c r="C47" s="21" t="n">
        <f aca="false">(ipi_fpm_27+is_fpm_27)/fpm_tot_27</f>
        <v>0.0461325359728506</v>
      </c>
      <c r="D47" s="16" t="s">
        <v>98</v>
      </c>
      <c r="E47" s="16" t="s">
        <v>225</v>
      </c>
    </row>
    <row r="48" customFormat="false" ht="15" hidden="false" customHeight="false" outlineLevel="0" collapsed="false">
      <c r="A48" s="14" t="s">
        <v>226</v>
      </c>
      <c r="B48" s="8"/>
      <c r="C48" s="8"/>
      <c r="D48" s="8"/>
      <c r="E48" s="8"/>
    </row>
    <row r="49" customFormat="false" ht="15" hidden="false" customHeight="false" outlineLevel="0" collapsed="false">
      <c r="A49" s="15"/>
      <c r="B49" s="16" t="s">
        <v>227</v>
      </c>
      <c r="C49" s="29" t="n">
        <v>1350.471</v>
      </c>
      <c r="D49" s="16" t="s">
        <v>180</v>
      </c>
      <c r="E49" s="16" t="s">
        <v>228</v>
      </c>
    </row>
    <row r="50" customFormat="false" ht="15" hidden="false" customHeight="false" outlineLevel="0" collapsed="false">
      <c r="A50" s="15"/>
      <c r="B50" s="16" t="s">
        <v>229</v>
      </c>
      <c r="C50" s="29" t="n">
        <v>173.639</v>
      </c>
      <c r="D50" s="16" t="s">
        <v>180</v>
      </c>
      <c r="E50" s="16" t="s">
        <v>230</v>
      </c>
    </row>
    <row r="51" customFormat="false" ht="15" hidden="false" customHeight="false" outlineLevel="0" collapsed="false">
      <c r="A51" s="15"/>
      <c r="B51" s="16" t="s">
        <v>231</v>
      </c>
      <c r="C51" s="29" t="n">
        <v>270.094</v>
      </c>
      <c r="D51" s="16" t="s">
        <v>180</v>
      </c>
      <c r="E51" s="16" t="s">
        <v>232</v>
      </c>
    </row>
    <row r="52" customFormat="false" ht="15" hidden="false" customHeight="false" outlineLevel="0" collapsed="false">
      <c r="A52" s="15"/>
      <c r="B52" s="16" t="s">
        <v>233</v>
      </c>
      <c r="C52" s="25" t="n">
        <f aca="false">orc_cota+orc_extra</f>
        <v>1524.11</v>
      </c>
      <c r="D52" s="16" t="s">
        <v>180</v>
      </c>
      <c r="E52" s="16" t="s">
        <v>201</v>
      </c>
    </row>
    <row r="53" customFormat="false" ht="23.85" hidden="false" customHeight="false" outlineLevel="0" collapsed="false">
      <c r="A53" s="15"/>
      <c r="B53" s="16" t="s">
        <v>234</v>
      </c>
      <c r="C53" s="21" t="n">
        <f aca="false">orc_ded/orc_cota</f>
        <v>0.199999851903521</v>
      </c>
      <c r="D53" s="16" t="s">
        <v>98</v>
      </c>
      <c r="E53" s="16" t="s">
        <v>235</v>
      </c>
    </row>
    <row r="54" customFormat="false" ht="15" hidden="false" customHeight="false" outlineLevel="0" collapsed="false">
      <c r="A54" s="15"/>
      <c r="B54" s="16" t="s">
        <v>236</v>
      </c>
      <c r="C54" s="25" t="n">
        <f aca="false">fpm_tot_27*s_T</f>
        <v>1419.35600385619</v>
      </c>
      <c r="D54" s="16" t="s">
        <v>180</v>
      </c>
      <c r="E54" s="16" t="s">
        <v>237</v>
      </c>
    </row>
    <row r="55" customFormat="false" ht="15" hidden="false" customHeight="false" outlineLevel="0" collapsed="false">
      <c r="A55" s="15"/>
      <c r="B55" s="16" t="s">
        <v>238</v>
      </c>
      <c r="C55" s="25" t="n">
        <f aca="false">orc_tot-fed_impl</f>
        <v>104.753996143808</v>
      </c>
      <c r="D55" s="16" t="s">
        <v>180</v>
      </c>
      <c r="E55" s="16" t="s">
        <v>239</v>
      </c>
    </row>
    <row r="56" customFormat="false" ht="15" hidden="false" customHeight="false" outlineLevel="0" collapsed="false">
      <c r="A56" s="15"/>
      <c r="B56" s="16" t="s">
        <v>240</v>
      </c>
      <c r="C56" s="21" t="n">
        <f aca="false">orc_tot/fed_impl-1</f>
        <v>0.0738038912430752</v>
      </c>
      <c r="D56" s="16" t="s">
        <v>98</v>
      </c>
      <c r="E56" s="16" t="s">
        <v>241</v>
      </c>
    </row>
    <row r="57" customFormat="false" ht="15" hidden="false" customHeight="false" outlineLevel="0" collapsed="false">
      <c r="A57" s="14" t="s">
        <v>242</v>
      </c>
      <c r="B57" s="8"/>
      <c r="C57" s="8"/>
      <c r="D57" s="8"/>
      <c r="E57" s="8"/>
    </row>
    <row r="58" customFormat="false" ht="15" hidden="false" customHeight="false" outlineLevel="0" collapsed="false">
      <c r="A58" s="15"/>
      <c r="B58" s="16" t="s">
        <v>243</v>
      </c>
      <c r="C58" s="25" t="n">
        <f aca="false">p_all*(ipi_tot_27+is_tot_27)</f>
        <v>28496.2417566541</v>
      </c>
      <c r="D58" s="16" t="s">
        <v>180</v>
      </c>
      <c r="E58" s="16" t="s">
        <v>244</v>
      </c>
    </row>
    <row r="59" customFormat="false" ht="23.85" hidden="false" customHeight="false" outlineLevel="0" collapsed="false">
      <c r="A59" s="15"/>
      <c r="B59" s="16" t="s">
        <v>245</v>
      </c>
      <c r="C59" s="30" t="n">
        <f aca="false">comp_fundo+D_ploa</f>
        <v>62273.8417566541</v>
      </c>
      <c r="D59" s="16" t="s">
        <v>180</v>
      </c>
      <c r="E59" s="16" t="s">
        <v>246</v>
      </c>
    </row>
    <row r="60" customFormat="false" ht="15" hidden="false" customHeight="false" outlineLevel="0" collapsed="false">
      <c r="A60" s="15"/>
      <c r="B60" s="16" t="s">
        <v>247</v>
      </c>
      <c r="C60" s="25" t="n">
        <f aca="false">ref_implied/12</f>
        <v>5189.48681305451</v>
      </c>
      <c r="D60" s="16" t="s">
        <v>180</v>
      </c>
      <c r="E60" s="16" t="s">
        <v>248</v>
      </c>
    </row>
    <row r="61" customFormat="false" ht="15" hidden="false" customHeight="false" outlineLevel="0" collapsed="false">
      <c r="A61" s="14" t="s">
        <v>249</v>
      </c>
      <c r="B61" s="8"/>
      <c r="C61" s="8"/>
      <c r="D61" s="8"/>
      <c r="E61" s="8"/>
    </row>
    <row r="62" customFormat="false" ht="15" hidden="false" customHeight="false" outlineLevel="0" collapsed="false">
      <c r="A62" s="15"/>
      <c r="B62" s="16" t="s">
        <v>250</v>
      </c>
      <c r="C62" s="29" t="n">
        <v>63377</v>
      </c>
      <c r="D62" s="16" t="s">
        <v>180</v>
      </c>
      <c r="E62" s="16" t="s">
        <v>251</v>
      </c>
    </row>
    <row r="63" customFormat="false" ht="23.85" hidden="false" customHeight="false" outlineLevel="0" collapsed="false">
      <c r="A63" s="15"/>
      <c r="B63" s="16" t="s">
        <v>252</v>
      </c>
      <c r="C63" s="29" t="n">
        <v>8797</v>
      </c>
      <c r="D63" s="16" t="s">
        <v>180</v>
      </c>
      <c r="E63" s="16" t="s">
        <v>253</v>
      </c>
    </row>
    <row r="64" customFormat="false" ht="15" hidden="false" customHeight="false" outlineLevel="0" collapsed="false">
      <c r="A64" s="15"/>
      <c r="B64" s="16" t="s">
        <v>254</v>
      </c>
      <c r="C64" s="29" t="n">
        <v>99988.2</v>
      </c>
      <c r="D64" s="16" t="s">
        <v>180</v>
      </c>
      <c r="E64" s="16" t="s">
        <v>255</v>
      </c>
    </row>
    <row r="65" customFormat="false" ht="15" hidden="false" customHeight="false" outlineLevel="0" collapsed="false">
      <c r="A65" s="15"/>
      <c r="B65" s="16" t="s">
        <v>256</v>
      </c>
      <c r="C65" s="29" t="n">
        <v>5497.4786</v>
      </c>
      <c r="D65" s="16" t="s">
        <v>180</v>
      </c>
      <c r="E65" s="16" t="s">
        <v>257</v>
      </c>
    </row>
    <row r="66" customFormat="false" ht="23.85" hidden="false" customHeight="false" outlineLevel="0" collapsed="false">
      <c r="A66" s="15"/>
      <c r="B66" s="16" t="s">
        <v>258</v>
      </c>
      <c r="C66" s="29" t="n">
        <v>41996.35</v>
      </c>
      <c r="D66" s="16" t="s">
        <v>180</v>
      </c>
      <c r="E66" s="16" t="s">
        <v>259</v>
      </c>
    </row>
    <row r="67" customFormat="false" ht="15" hidden="false" customHeight="false" outlineLevel="0" collapsed="false">
      <c r="A67" s="15"/>
      <c r="B67" s="16" t="s">
        <v>260</v>
      </c>
      <c r="C67" s="22" t="n">
        <v>23498.540004</v>
      </c>
      <c r="D67" s="16" t="s">
        <v>180</v>
      </c>
      <c r="E67" s="16" t="s">
        <v>261</v>
      </c>
    </row>
    <row r="68" customFormat="false" ht="15" hidden="false" customHeight="false" outlineLevel="0" collapsed="false">
      <c r="A68" s="15"/>
      <c r="B68" s="16" t="s">
        <v>262</v>
      </c>
      <c r="C68" s="25" t="n">
        <f aca="false">comp_fundo</f>
        <v>33777.6</v>
      </c>
      <c r="D68" s="16" t="s">
        <v>180</v>
      </c>
      <c r="E68" s="16" t="s">
        <v>263</v>
      </c>
    </row>
    <row r="69" customFormat="false" ht="23.85" hidden="false" customHeight="false" outlineLevel="0" collapsed="false">
      <c r="A69" s="15"/>
      <c r="B69" s="16" t="s">
        <v>264</v>
      </c>
      <c r="C69" s="25" t="n">
        <f aca="false">comp_fundo-acao_00yb</f>
        <v>10279.059996</v>
      </c>
      <c r="D69" s="16" t="s">
        <v>180</v>
      </c>
      <c r="E69" s="16" t="s">
        <v>265</v>
      </c>
    </row>
    <row r="70" customFormat="false" ht="15" hidden="false" customHeight="false" outlineLevel="0" collapsed="false">
      <c r="A70" s="15"/>
      <c r="B70" s="16" t="s">
        <v>266</v>
      </c>
      <c r="C70" s="30" t="n">
        <f aca="false">ref_LC_anual</f>
        <v>64883.0492661198</v>
      </c>
      <c r="D70" s="16" t="s">
        <v>180</v>
      </c>
      <c r="E70" s="16" t="s">
        <v>267</v>
      </c>
    </row>
    <row r="71" customFormat="false" ht="15" hidden="false" customHeight="false" outlineLevel="0" collapsed="false">
      <c r="A71" s="15"/>
      <c r="B71" s="16" t="s">
        <v>268</v>
      </c>
      <c r="C71" s="21" t="n">
        <f aca="false">ref_LC_anual/ref_implied-1</f>
        <v>0.0418989327760051</v>
      </c>
      <c r="D71" s="16" t="s">
        <v>98</v>
      </c>
      <c r="E71" s="16" t="s">
        <v>269</v>
      </c>
    </row>
    <row r="72" customFormat="false" ht="15" hidden="false" customHeight="false" outlineLevel="0" collapsed="false">
      <c r="A72" s="14" t="s">
        <v>270</v>
      </c>
      <c r="B72" s="8"/>
      <c r="C72" s="8"/>
      <c r="D72" s="8"/>
      <c r="E72" s="8"/>
    </row>
    <row r="73" customFormat="false" ht="23.85" hidden="false" customHeight="false" outlineLevel="0" collapsed="false">
      <c r="A73" s="15"/>
      <c r="B73" s="16" t="s">
        <v>271</v>
      </c>
      <c r="C73" s="31" t="n">
        <v>0.00097318</v>
      </c>
      <c r="D73" s="16" t="s">
        <v>272</v>
      </c>
      <c r="E73" s="16" t="s">
        <v>273</v>
      </c>
    </row>
    <row r="74" customFormat="false" ht="23.85" hidden="false" customHeight="false" outlineLevel="0" collapsed="false">
      <c r="A74" s="15"/>
      <c r="B74" s="16" t="s">
        <v>274</v>
      </c>
      <c r="C74" s="32" t="n">
        <f aca="false">coef_obs26/(p_fpm_reg*(1-fundeb))</f>
        <v>0.00540655555555556</v>
      </c>
      <c r="D74" s="16" t="s">
        <v>98</v>
      </c>
      <c r="E74" s="16" t="s">
        <v>275</v>
      </c>
    </row>
    <row r="75" customFormat="false" ht="15" hidden="false" customHeight="false" outlineLevel="0" collapsed="false">
      <c r="A75" s="15"/>
      <c r="B75" s="16" t="s">
        <v>276</v>
      </c>
      <c r="C75" s="33" t="n">
        <f aca="false">s_obs26-s_T</f>
        <v>-1.84444444457227E-008</v>
      </c>
      <c r="D75" s="16" t="s">
        <v>277</v>
      </c>
      <c r="E75" s="16" t="s">
        <v>278</v>
      </c>
    </row>
    <row r="76" customFormat="false" ht="15" hidden="false" customHeight="false" outlineLevel="0" collapsed="false">
      <c r="A76" s="15"/>
      <c r="B76" s="16" t="s">
        <v>279</v>
      </c>
      <c r="C76" s="29" t="n">
        <v>1157.7</v>
      </c>
      <c r="D76" s="16" t="s">
        <v>180</v>
      </c>
      <c r="E76" s="16" t="s">
        <v>280</v>
      </c>
    </row>
    <row r="77" customFormat="false" ht="15" hidden="false" customHeight="false" outlineLevel="0" collapsed="false">
      <c r="A77" s="15"/>
      <c r="B77" s="16" t="s">
        <v>281</v>
      </c>
      <c r="C77" s="29" t="n">
        <v>142.7</v>
      </c>
      <c r="D77" s="16" t="s">
        <v>180</v>
      </c>
      <c r="E77" s="16" t="s">
        <v>282</v>
      </c>
    </row>
    <row r="78" customFormat="false" ht="23.85" hidden="false" customHeight="false" outlineLevel="0" collapsed="false">
      <c r="A78" s="15"/>
      <c r="B78" s="16" t="s">
        <v>283</v>
      </c>
      <c r="C78" s="29" t="n">
        <v>1263</v>
      </c>
      <c r="D78" s="16" t="s">
        <v>180</v>
      </c>
      <c r="E78" s="16" t="s">
        <v>284</v>
      </c>
    </row>
    <row r="79" customFormat="false" ht="15" hidden="false" customHeight="false" outlineLevel="0" collapsed="false">
      <c r="A79" s="15"/>
      <c r="B79" s="16" t="s">
        <v>285</v>
      </c>
      <c r="C79" s="29" t="n">
        <v>164.3</v>
      </c>
      <c r="D79" s="16" t="s">
        <v>180</v>
      </c>
      <c r="E79" s="16" t="s">
        <v>286</v>
      </c>
    </row>
    <row r="80" customFormat="false" ht="15" hidden="false" customHeight="false" outlineLevel="0" collapsed="false">
      <c r="A80" s="15"/>
      <c r="B80" s="16" t="s">
        <v>287</v>
      </c>
      <c r="C80" s="30" t="n">
        <f aca="false">fpm26_cota+fpm26_extra</f>
        <v>1427.3</v>
      </c>
      <c r="D80" s="16" t="s">
        <v>180</v>
      </c>
      <c r="E80" s="16" t="s">
        <v>201</v>
      </c>
    </row>
    <row r="81" customFormat="false" ht="35.05" hidden="false" customHeight="false" outlineLevel="0" collapsed="false">
      <c r="A81" s="15"/>
      <c r="B81" s="16" t="s">
        <v>288</v>
      </c>
      <c r="C81" s="34" t="n">
        <f aca="false">orc_tot/fpm26_tot-1</f>
        <v>0.0678273663560569</v>
      </c>
      <c r="D81" s="16" t="s">
        <v>98</v>
      </c>
      <c r="E81" s="16" t="s">
        <v>289</v>
      </c>
    </row>
    <row r="82" customFormat="false" ht="15" hidden="false" customHeight="false" outlineLevel="0" collapsed="false">
      <c r="A82" s="15"/>
      <c r="B82" s="16" t="s">
        <v>290</v>
      </c>
      <c r="C82" s="30" t="n">
        <f aca="false">orc_tot-fpm26_tot*(fpm_tot_27/fpm_tot_26)</f>
        <v>90.3587712532008</v>
      </c>
      <c r="D82" s="16" t="s">
        <v>180</v>
      </c>
      <c r="E82" s="16" t="s">
        <v>291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15" min="6" style="0" width="12"/>
  </cols>
  <sheetData>
    <row r="1" customFormat="false" ht="24" hidden="false" customHeight="true" outlineLevel="0" collapsed="false">
      <c r="A1" s="1" t="s">
        <v>292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293</v>
      </c>
    </row>
    <row r="4" customFormat="false" ht="15" hidden="false" customHeight="false" outlineLevel="0" collapsed="false">
      <c r="A4" s="12" t="s">
        <v>294</v>
      </c>
    </row>
    <row r="5" customFormat="false" ht="15" hidden="false" customHeight="false" outlineLevel="0" collapsed="false">
      <c r="A5" s="6" t="s">
        <v>295</v>
      </c>
      <c r="B5" s="6"/>
      <c r="C5" s="6" t="s">
        <v>296</v>
      </c>
      <c r="D5" s="6" t="s">
        <v>297</v>
      </c>
      <c r="E5" s="6" t="s">
        <v>298</v>
      </c>
      <c r="F5" s="6" t="s">
        <v>299</v>
      </c>
      <c r="G5" s="6" t="s">
        <v>300</v>
      </c>
      <c r="H5" s="6" t="s">
        <v>301</v>
      </c>
      <c r="I5" s="6" t="s">
        <v>302</v>
      </c>
      <c r="J5" s="6" t="s">
        <v>303</v>
      </c>
      <c r="K5" s="6" t="s">
        <v>304</v>
      </c>
      <c r="L5" s="6" t="s">
        <v>305</v>
      </c>
      <c r="M5" s="6" t="s">
        <v>306</v>
      </c>
      <c r="N5" s="6" t="s">
        <v>307</v>
      </c>
      <c r="O5" s="6" t="s">
        <v>308</v>
      </c>
    </row>
    <row r="6" customFormat="false" ht="15" hidden="false" customHeight="false" outlineLevel="0" collapsed="false">
      <c r="A6" s="12" t="n">
        <v>2022</v>
      </c>
      <c r="C6" s="35" t="n">
        <v>71.378</v>
      </c>
      <c r="D6" s="35" t="n">
        <v>99.638</v>
      </c>
      <c r="E6" s="35" t="n">
        <v>60.405</v>
      </c>
      <c r="F6" s="35" t="n">
        <v>71.601</v>
      </c>
      <c r="G6" s="35" t="n">
        <v>79.649</v>
      </c>
      <c r="H6" s="35" t="n">
        <v>74.527</v>
      </c>
      <c r="I6" s="35" t="n">
        <v>63.916</v>
      </c>
      <c r="J6" s="35" t="n">
        <v>72.879</v>
      </c>
      <c r="K6" s="35" t="n">
        <v>68.765</v>
      </c>
      <c r="L6" s="35" t="n">
        <v>63.863</v>
      </c>
      <c r="M6" s="35" t="n">
        <v>80.264</v>
      </c>
      <c r="N6" s="35" t="n">
        <v>85.902</v>
      </c>
      <c r="O6" s="36" t="n">
        <f aca="false">SUM(C6:N6)</f>
        <v>892.787</v>
      </c>
    </row>
    <row r="7" customFormat="false" ht="15" hidden="false" customHeight="false" outlineLevel="0" collapsed="false">
      <c r="A7" s="12" t="n">
        <v>2023</v>
      </c>
      <c r="C7" s="35" t="n">
        <v>80.171</v>
      </c>
      <c r="D7" s="35" t="n">
        <v>107.887</v>
      </c>
      <c r="E7" s="35" t="n">
        <v>65.999</v>
      </c>
      <c r="F7" s="35" t="n">
        <v>75.458</v>
      </c>
      <c r="G7" s="35" t="n">
        <v>83.883</v>
      </c>
      <c r="H7" s="35" t="n">
        <v>78.346</v>
      </c>
      <c r="I7" s="35" t="n">
        <v>58.401</v>
      </c>
      <c r="J7" s="35" t="n">
        <v>67.577</v>
      </c>
      <c r="K7" s="35" t="n">
        <v>72.092</v>
      </c>
      <c r="L7" s="35" t="n">
        <v>64.599</v>
      </c>
      <c r="M7" s="35" t="n">
        <v>83.815</v>
      </c>
      <c r="N7" s="35" t="n">
        <v>92.219</v>
      </c>
      <c r="O7" s="36" t="n">
        <f aca="false">SUM(C7:N7)</f>
        <v>930.447</v>
      </c>
    </row>
    <row r="8" customFormat="false" ht="15" hidden="false" customHeight="false" outlineLevel="0" collapsed="false">
      <c r="A8" s="12" t="n">
        <v>2024</v>
      </c>
      <c r="C8" s="35" t="n">
        <v>91.357</v>
      </c>
      <c r="D8" s="35" t="n">
        <v>124.223</v>
      </c>
      <c r="E8" s="35" t="n">
        <v>77.446</v>
      </c>
      <c r="F8" s="35" t="n">
        <v>81.23</v>
      </c>
      <c r="G8" s="35" t="n">
        <v>94.5</v>
      </c>
      <c r="H8" s="35" t="n">
        <v>101.478</v>
      </c>
      <c r="I8" s="35" t="n">
        <v>65.765</v>
      </c>
      <c r="J8" s="35" t="n">
        <v>86.018</v>
      </c>
      <c r="K8" s="35" t="n">
        <v>94.398</v>
      </c>
      <c r="L8" s="35" t="n">
        <v>74.929</v>
      </c>
      <c r="M8" s="35" t="n">
        <v>95.913</v>
      </c>
      <c r="N8" s="35" t="n">
        <v>107.654</v>
      </c>
      <c r="O8" s="36" t="n">
        <f aca="false">SUM(C8:N8)</f>
        <v>1094.911</v>
      </c>
    </row>
    <row r="9" customFormat="false" ht="15" hidden="false" customHeight="false" outlineLevel="0" collapsed="false">
      <c r="A9" s="12" t="n">
        <v>2025</v>
      </c>
      <c r="C9" s="35" t="n">
        <v>96.089</v>
      </c>
      <c r="D9" s="35" t="n">
        <v>128.94</v>
      </c>
      <c r="E9" s="35" t="n">
        <v>84.913</v>
      </c>
      <c r="F9" s="35" t="n">
        <v>86.286</v>
      </c>
      <c r="G9" s="35" t="n">
        <v>110.07</v>
      </c>
      <c r="H9" s="35" t="n">
        <v>113.057</v>
      </c>
      <c r="I9" s="35" t="n">
        <v>69.402</v>
      </c>
      <c r="J9" s="35" t="n">
        <v>91.565</v>
      </c>
      <c r="K9" s="35" t="n">
        <v>73.929</v>
      </c>
      <c r="L9" s="35" t="n">
        <v>77.931</v>
      </c>
      <c r="M9" s="35" t="n">
        <v>105.935</v>
      </c>
      <c r="N9" s="35" t="n">
        <v>119.571</v>
      </c>
      <c r="O9" s="36" t="n">
        <f aca="false">SUM(C9:N9)</f>
        <v>1157.688</v>
      </c>
    </row>
    <row r="10" customFormat="false" ht="15" hidden="false" customHeight="false" outlineLevel="0" collapsed="false">
      <c r="A10" s="12" t="n">
        <v>2026</v>
      </c>
      <c r="C10" s="35" t="n">
        <v>108.38</v>
      </c>
      <c r="D10" s="35" t="n">
        <v>136.266</v>
      </c>
      <c r="E10" s="35" t="n">
        <v>82.517</v>
      </c>
      <c r="F10" s="35" t="n">
        <v>97.156</v>
      </c>
      <c r="G10" s="35" t="n">
        <v>117.589</v>
      </c>
      <c r="H10" s="35" t="n">
        <v>123.891</v>
      </c>
      <c r="I10" s="35" t="n">
        <v>77.968</v>
      </c>
      <c r="J10" s="35" t="n">
        <v>104.556</v>
      </c>
      <c r="K10" s="35" t="n">
        <v>83.643</v>
      </c>
      <c r="L10" s="35"/>
      <c r="M10" s="35"/>
      <c r="N10" s="35"/>
      <c r="O10" s="36" t="n">
        <f aca="false">SUM(C10:N10)</f>
        <v>931.966</v>
      </c>
    </row>
    <row r="11" customFormat="false" ht="15" hidden="false" customHeight="false" outlineLevel="0" collapsed="false">
      <c r="A11" s="12" t="s">
        <v>309</v>
      </c>
    </row>
    <row r="12" customFormat="false" ht="15" hidden="false" customHeight="false" outlineLevel="0" collapsed="false">
      <c r="A12" s="37" t="n">
        <v>2022</v>
      </c>
      <c r="C12" s="38" t="n">
        <f aca="false">IF(COUNT($C6:$N6)=12,C6/SUM($C6:$N6),"")</f>
        <v>0.0799496408437847</v>
      </c>
      <c r="D12" s="38" t="n">
        <f aca="false">IF(COUNT($C6:$N6)=12,D6/SUM($C6:$N6),"")</f>
        <v>0.111603327557413</v>
      </c>
      <c r="E12" s="38" t="n">
        <f aca="false">IF(COUNT($C6:$N6)=12,E6/SUM($C6:$N6),"")</f>
        <v>0.0676589152843847</v>
      </c>
      <c r="F12" s="38" t="n">
        <f aca="false">IF(COUNT($C6:$N6)=12,F6/SUM($C6:$N6),"")</f>
        <v>0.0801994204664718</v>
      </c>
      <c r="G12" s="38" t="n">
        <f aca="false">IF(COUNT($C6:$N6)=12,G6/SUM($C6:$N6),"")</f>
        <v>0.0892138886430918</v>
      </c>
      <c r="H12" s="38" t="n">
        <f aca="false">IF(COUNT($C6:$N6)=12,H6/SUM($C6:$N6),"")</f>
        <v>0.083476797937246</v>
      </c>
      <c r="I12" s="38" t="n">
        <f aca="false">IF(COUNT($C6:$N6)=12,I6/SUM($C6:$N6),"")</f>
        <v>0.0715915442317148</v>
      </c>
      <c r="J12" s="38" t="n">
        <f aca="false">IF(COUNT($C6:$N6)=12,J6/SUM($C6:$N6),"")</f>
        <v>0.081630892922948</v>
      </c>
      <c r="K12" s="38" t="n">
        <f aca="false">IF(COUNT($C6:$N6)=12,K6/SUM($C6:$N6),"")</f>
        <v>0.0770228509151679</v>
      </c>
      <c r="L12" s="38" t="n">
        <f aca="false">IF(COUNT($C6:$N6)=12,L6/SUM($C6:$N6),"")</f>
        <v>0.0715321795680269</v>
      </c>
      <c r="M12" s="38" t="n">
        <f aca="false">IF(COUNT($C6:$N6)=12,M6/SUM($C6:$N6),"")</f>
        <v>0.0899027427594712</v>
      </c>
      <c r="N12" s="38" t="n">
        <f aca="false">IF(COUNT($C6:$N6)=12,N6/SUM($C6:$N6),"")</f>
        <v>0.0962177988702792</v>
      </c>
    </row>
    <row r="13" customFormat="false" ht="15" hidden="false" customHeight="false" outlineLevel="0" collapsed="false">
      <c r="A13" s="37" t="n">
        <v>2023</v>
      </c>
      <c r="C13" s="38" t="n">
        <f aca="false">IF(COUNT($C7:$N7)=12,C7/SUM($C7:$N7),"")</f>
        <v>0.0861639620526478</v>
      </c>
      <c r="D13" s="38" t="n">
        <f aca="false">IF(COUNT($C7:$N7)=12,D7/SUM($C7:$N7),"")</f>
        <v>0.115951795212409</v>
      </c>
      <c r="E13" s="38" t="n">
        <f aca="false">IF(COUNT($C7:$N7)=12,E7/SUM($C7:$N7),"")</f>
        <v>0.0709325732685473</v>
      </c>
      <c r="F13" s="38" t="n">
        <f aca="false">IF(COUNT($C7:$N7)=12,F7/SUM($C7:$N7),"")</f>
        <v>0.0810986547326178</v>
      </c>
      <c r="G13" s="38" t="n">
        <f aca="false">IF(COUNT($C7:$N7)=12,G7/SUM($C7:$N7),"")</f>
        <v>0.0901534423776959</v>
      </c>
      <c r="H13" s="38" t="n">
        <f aca="false">IF(COUNT($C7:$N7)=12,H7/SUM($C7:$N7),"")</f>
        <v>0.0842025392096487</v>
      </c>
      <c r="I13" s="38" t="n">
        <f aca="false">IF(COUNT($C7:$N7)=12,I7/SUM($C7:$N7),"")</f>
        <v>0.0627666057282145</v>
      </c>
      <c r="J13" s="38" t="n">
        <f aca="false">IF(COUNT($C7:$N7)=12,J7/SUM($C7:$N7),"")</f>
        <v>0.0726285323075898</v>
      </c>
      <c r="K13" s="38" t="n">
        <f aca="false">IF(COUNT($C7:$N7)=12,K7/SUM($C7:$N7),"")</f>
        <v>0.0774810386835575</v>
      </c>
      <c r="L13" s="38" t="n">
        <f aca="false">IF(COUNT($C7:$N7)=12,L7/SUM($C7:$N7),"")</f>
        <v>0.0694279201287123</v>
      </c>
      <c r="M13" s="38" t="n">
        <f aca="false">IF(COUNT($C7:$N7)=12,M7/SUM($C7:$N7),"")</f>
        <v>0.0900803592251896</v>
      </c>
      <c r="N13" s="38" t="n">
        <f aca="false">IF(COUNT($C7:$N7)=12,N7/SUM($C7:$N7),"")</f>
        <v>0.0991125770731702</v>
      </c>
    </row>
    <row r="14" customFormat="false" ht="15" hidden="false" customHeight="false" outlineLevel="0" collapsed="false">
      <c r="A14" s="37" t="n">
        <v>2024</v>
      </c>
      <c r="C14" s="38" t="n">
        <f aca="false">IF(COUNT($C8:$N8)=12,C8/SUM($C8:$N8),"")</f>
        <v>0.0834378319333717</v>
      </c>
      <c r="D14" s="38" t="n">
        <f aca="false">IF(COUNT($C8:$N8)=12,D8/SUM($C8:$N8),"")</f>
        <v>0.113454883547613</v>
      </c>
      <c r="E14" s="38" t="n">
        <f aca="false">IF(COUNT($C8:$N8)=12,E8/SUM($C8:$N8),"")</f>
        <v>0.0707326896889336</v>
      </c>
      <c r="F14" s="38" t="n">
        <f aca="false">IF(COUNT($C8:$N8)=12,F8/SUM($C8:$N8),"")</f>
        <v>0.0741886783491992</v>
      </c>
      <c r="G14" s="38" t="n">
        <f aca="false">IF(COUNT($C8:$N8)=12,G8/SUM($C8:$N8),"")</f>
        <v>0.0863083848824242</v>
      </c>
      <c r="H14" s="38" t="n">
        <f aca="false">IF(COUNT($C8:$N8)=12,H8/SUM($C8:$N8),"")</f>
        <v>0.0926815056200915</v>
      </c>
      <c r="I14" s="38" t="n">
        <f aca="false">IF(COUNT($C8:$N8)=12,I8/SUM($C8:$N8),"")</f>
        <v>0.0600642426644723</v>
      </c>
      <c r="J14" s="38" t="n">
        <f aca="false">IF(COUNT($C8:$N8)=12,J8/SUM($C8:$N8),"")</f>
        <v>0.0785616365165753</v>
      </c>
      <c r="K14" s="38" t="n">
        <f aca="false">IF(COUNT($C8:$N8)=12,K8/SUM($C8:$N8),"")</f>
        <v>0.0862152266257257</v>
      </c>
      <c r="L14" s="38" t="n">
        <f aca="false">IF(COUNT($C8:$N8)=12,L8/SUM($C8:$N8),"")</f>
        <v>0.0684338727074621</v>
      </c>
      <c r="M14" s="38" t="n">
        <f aca="false">IF(COUNT($C8:$N8)=12,M8/SUM($C8:$N8),"")</f>
        <v>0.087598900732571</v>
      </c>
      <c r="N14" s="38" t="n">
        <f aca="false">IF(COUNT($C8:$N8)=12,N8/SUM($C8:$N8),"")</f>
        <v>0.0983221467315608</v>
      </c>
    </row>
    <row r="15" customFormat="false" ht="15" hidden="false" customHeight="false" outlineLevel="0" collapsed="false">
      <c r="A15" s="37" t="n">
        <v>2025</v>
      </c>
      <c r="C15" s="38" t="n">
        <f aca="false">IF(COUNT($C9:$N9)=12,C9/SUM($C9:$N9),"")</f>
        <v>0.0830007739563682</v>
      </c>
      <c r="D15" s="38" t="n">
        <f aca="false">IF(COUNT($C9:$N9)=12,D9/SUM($C9:$N9),"")</f>
        <v>0.111377158612683</v>
      </c>
      <c r="E15" s="38" t="n">
        <f aca="false">IF(COUNT($C9:$N9)=12,E9/SUM($C9:$N9),"")</f>
        <v>0.0733470503278949</v>
      </c>
      <c r="F15" s="38" t="n">
        <f aca="false">IF(COUNT($C9:$N9)=12,F9/SUM($C9:$N9),"")</f>
        <v>0.0745330348073056</v>
      </c>
      <c r="G15" s="38" t="n">
        <f aca="false">IF(COUNT($C9:$N9)=12,G9/SUM($C9:$N9),"")</f>
        <v>0.0950774301884446</v>
      </c>
      <c r="H15" s="38" t="n">
        <f aca="false">IF(COUNT($C9:$N9)=12,H9/SUM($C9:$N9),"")</f>
        <v>0.0976575726793402</v>
      </c>
      <c r="I15" s="38" t="n">
        <f aca="false">IF(COUNT($C9:$N9)=12,I9/SUM($C9:$N9),"")</f>
        <v>0.0599487944938533</v>
      </c>
      <c r="J15" s="38" t="n">
        <f aca="false">IF(COUNT($C9:$N9)=12,J9/SUM($C9:$N9),"")</f>
        <v>0.0790929853293806</v>
      </c>
      <c r="K15" s="38" t="n">
        <f aca="false">IF(COUNT($C9:$N9)=12,K9/SUM($C9:$N9),"")</f>
        <v>0.0638591744926094</v>
      </c>
      <c r="L15" s="38" t="n">
        <f aca="false">IF(COUNT($C9:$N9)=12,L9/SUM($C9:$N9),"")</f>
        <v>0.0673160644318677</v>
      </c>
      <c r="M15" s="38" t="n">
        <f aca="false">IF(COUNT($C9:$N9)=12,M9/SUM($C9:$N9),"")</f>
        <v>0.0915056561007802</v>
      </c>
      <c r="N15" s="38" t="n">
        <f aca="false">IF(COUNT($C9:$N9)=12,N9/SUM($C9:$N9),"")</f>
        <v>0.103284304579472</v>
      </c>
    </row>
    <row r="16" customFormat="false" ht="15" hidden="false" customHeight="false" outlineLevel="0" collapsed="false">
      <c r="A16" s="37" t="n">
        <v>2026</v>
      </c>
      <c r="C16" s="38" t="str">
        <f aca="false">IF(COUNT($C10:$N10)=12,C10/SUM($C10:$N10),"")</f>
        <v/>
      </c>
      <c r="D16" s="38" t="str">
        <f aca="false">IF(COUNT($C10:$N10)=12,D10/SUM($C10:$N10),"")</f>
        <v/>
      </c>
      <c r="E16" s="38" t="str">
        <f aca="false">IF(COUNT($C10:$N10)=12,E10/SUM($C10:$N10),"")</f>
        <v/>
      </c>
      <c r="F16" s="38" t="str">
        <f aca="false">IF(COUNT($C10:$N10)=12,F10/SUM($C10:$N10),"")</f>
        <v/>
      </c>
      <c r="G16" s="38" t="str">
        <f aca="false">IF(COUNT($C10:$N10)=12,G10/SUM($C10:$N10),"")</f>
        <v/>
      </c>
      <c r="H16" s="38" t="str">
        <f aca="false">IF(COUNT($C10:$N10)=12,H10/SUM($C10:$N10),"")</f>
        <v/>
      </c>
      <c r="I16" s="38" t="str">
        <f aca="false">IF(COUNT($C10:$N10)=12,I10/SUM($C10:$N10),"")</f>
        <v/>
      </c>
      <c r="J16" s="38" t="str">
        <f aca="false">IF(COUNT($C10:$N10)=12,J10/SUM($C10:$N10),"")</f>
        <v/>
      </c>
      <c r="K16" s="38" t="str">
        <f aca="false">IF(COUNT($C10:$N10)=12,K10/SUM($C10:$N10),"")</f>
        <v/>
      </c>
      <c r="L16" s="38" t="str">
        <f aca="false">IF(COUNT($C10:$N10)=12,L10/SUM($C10:$N10),"")</f>
        <v/>
      </c>
      <c r="M16" s="38" t="str">
        <f aca="false">IF(COUNT($C10:$N10)=12,M10/SUM($C10:$N10),"")</f>
        <v/>
      </c>
      <c r="N16" s="38" t="str">
        <f aca="false">IF(COUNT($C10:$N10)=12,N10/SUM($C10:$N10),"")</f>
        <v/>
      </c>
    </row>
    <row r="18" customFormat="false" ht="15" hidden="false" customHeight="false" outlineLevel="0" collapsed="false">
      <c r="A18" s="12" t="s">
        <v>310</v>
      </c>
      <c r="C18" s="38" t="n">
        <f aca="false">IF(COUNT(C12:C16)=0,"",AVERAGE(C12:C16))</f>
        <v>0.0831380521965431</v>
      </c>
      <c r="D18" s="38" t="n">
        <f aca="false">IF(COUNT(D12:D16)=0,"",AVERAGE(D12:D16))</f>
        <v>0.113096791232529</v>
      </c>
      <c r="E18" s="38" t="n">
        <f aca="false">IF(COUNT(E12:E16)=0,"",AVERAGE(E12:E16))</f>
        <v>0.0706678071424401</v>
      </c>
      <c r="F18" s="38" t="n">
        <f aca="false">IF(COUNT(F12:F16)=0,"",AVERAGE(F12:F16))</f>
        <v>0.0775049470888986</v>
      </c>
      <c r="G18" s="38" t="n">
        <f aca="false">IF(COUNT(G12:G16)=0,"",AVERAGE(G12:G16))</f>
        <v>0.0901882865229141</v>
      </c>
      <c r="H18" s="38" t="n">
        <f aca="false">IF(COUNT(H12:H16)=0,"",AVERAGE(H12:H16))</f>
        <v>0.0895046038615816</v>
      </c>
      <c r="I18" s="38" t="n">
        <f aca="false">IF(COUNT(I12:I16)=0,"",AVERAGE(I12:I16))</f>
        <v>0.0635927967795637</v>
      </c>
      <c r="J18" s="38" t="n">
        <f aca="false">IF(COUNT(J12:J16)=0,"",AVERAGE(J12:J16))</f>
        <v>0.0779785117691235</v>
      </c>
      <c r="K18" s="38" t="n">
        <f aca="false">IF(COUNT(K12:K16)=0,"",AVERAGE(K12:K16))</f>
        <v>0.0761445726792651</v>
      </c>
      <c r="L18" s="38" t="n">
        <f aca="false">IF(COUNT(L12:L16)=0,"",AVERAGE(L12:L16))</f>
        <v>0.0691775092090172</v>
      </c>
      <c r="M18" s="38" t="n">
        <f aca="false">IF(COUNT(M12:M16)=0,"",AVERAGE(M12:M16))</f>
        <v>0.089771914704503</v>
      </c>
      <c r="N18" s="38" t="n">
        <f aca="false">IF(COUNT(N12:N16)=0,"",AVERAGE(N12:N16))</f>
        <v>0.0992342068136206</v>
      </c>
    </row>
    <row r="19" customFormat="false" ht="15" hidden="false" customHeight="false" outlineLevel="0" collapsed="false">
      <c r="A19" s="12" t="s">
        <v>311</v>
      </c>
      <c r="C19" s="39" t="n">
        <f aca="false">IF(COUNT($C$12:$N$16)=0,1/12,C18/SUM($C$18:$N$18))</f>
        <v>0.0831380521965431</v>
      </c>
      <c r="D19" s="39" t="n">
        <f aca="false">IF(COUNT($C$12:$N$16)=0,1/12,D18/SUM($C$18:$N$18))</f>
        <v>0.113096791232529</v>
      </c>
      <c r="E19" s="39" t="n">
        <f aca="false">IF(COUNT($C$12:$N$16)=0,1/12,E18/SUM($C$18:$N$18))</f>
        <v>0.0706678071424401</v>
      </c>
      <c r="F19" s="39" t="n">
        <f aca="false">IF(COUNT($C$12:$N$16)=0,1/12,F18/SUM($C$18:$N$18))</f>
        <v>0.0775049470888986</v>
      </c>
      <c r="G19" s="39" t="n">
        <f aca="false">IF(COUNT($C$12:$N$16)=0,1/12,G18/SUM($C$18:$N$18))</f>
        <v>0.0901882865229141</v>
      </c>
      <c r="H19" s="39" t="n">
        <f aca="false">IF(COUNT($C$12:$N$16)=0,1/12,H18/SUM($C$18:$N$18))</f>
        <v>0.0895046038615816</v>
      </c>
      <c r="I19" s="39" t="n">
        <f aca="false">IF(COUNT($C$12:$N$16)=0,1/12,I18/SUM($C$18:$N$18))</f>
        <v>0.0635927967795637</v>
      </c>
      <c r="J19" s="39" t="n">
        <f aca="false">IF(COUNT($C$12:$N$16)=0,1/12,J18/SUM($C$18:$N$18))</f>
        <v>0.0779785117691234</v>
      </c>
      <c r="K19" s="39" t="n">
        <f aca="false">IF(COUNT($C$12:$N$16)=0,1/12,K18/SUM($C$18:$N$18))</f>
        <v>0.0761445726792651</v>
      </c>
      <c r="L19" s="39" t="n">
        <f aca="false">IF(COUNT($C$12:$N$16)=0,1/12,L18/SUM($C$18:$N$18))</f>
        <v>0.0691775092090172</v>
      </c>
      <c r="M19" s="39" t="n">
        <f aca="false">IF(COUNT($C$12:$N$16)=0,1/12,M18/SUM($C$18:$N$18))</f>
        <v>0.089771914704503</v>
      </c>
      <c r="N19" s="39" t="n">
        <f aca="false">IF(COUNT($C$12:$N$16)=0,1/12,N18/SUM($C$18:$N$18))</f>
        <v>0.0992342068136206</v>
      </c>
      <c r="O19" s="38" t="n">
        <f aca="false">SUM(C19:N19)</f>
        <v>1</v>
      </c>
    </row>
    <row r="21" customFormat="false" ht="15" hidden="false" customHeight="false" outlineLevel="0" collapsed="false">
      <c r="A21" s="12" t="s">
        <v>312</v>
      </c>
    </row>
    <row r="22" customFormat="false" ht="15" hidden="false" customHeight="false" outlineLevel="0" collapsed="false">
      <c r="A22" s="6"/>
      <c r="B22" s="6"/>
      <c r="C22" s="6" t="s">
        <v>296</v>
      </c>
      <c r="D22" s="6" t="s">
        <v>297</v>
      </c>
      <c r="E22" s="6" t="s">
        <v>298</v>
      </c>
      <c r="F22" s="6" t="s">
        <v>299</v>
      </c>
      <c r="G22" s="6" t="s">
        <v>300</v>
      </c>
      <c r="H22" s="6" t="s">
        <v>301</v>
      </c>
      <c r="I22" s="6" t="s">
        <v>302</v>
      </c>
      <c r="J22" s="6" t="s">
        <v>303</v>
      </c>
      <c r="K22" s="6" t="s">
        <v>304</v>
      </c>
      <c r="L22" s="6" t="s">
        <v>305</v>
      </c>
      <c r="M22" s="6" t="s">
        <v>306</v>
      </c>
      <c r="N22" s="6" t="s">
        <v>307</v>
      </c>
    </row>
    <row r="23" customFormat="false" ht="15" hidden="false" customHeight="false" outlineLevel="0" collapsed="false">
      <c r="A23" s="0" t="s">
        <v>313</v>
      </c>
      <c r="C23" s="40" t="n">
        <v>0.9414</v>
      </c>
      <c r="D23" s="40" t="n">
        <v>1.045</v>
      </c>
      <c r="E23" s="40" t="n">
        <v>0.8747</v>
      </c>
      <c r="F23" s="40" t="n">
        <v>0.9199</v>
      </c>
      <c r="G23" s="40" t="n">
        <v>1.0142</v>
      </c>
      <c r="H23" s="40" t="n">
        <v>1.0032</v>
      </c>
      <c r="I23" s="40" t="n">
        <v>0.9653</v>
      </c>
      <c r="J23" s="40" t="n">
        <v>1.1574</v>
      </c>
      <c r="K23" s="40" t="n">
        <v>1.0284</v>
      </c>
      <c r="L23" s="40" t="n">
        <v>1.0126</v>
      </c>
      <c r="M23" s="40" t="n">
        <v>1.0923</v>
      </c>
      <c r="N23" s="40" t="n">
        <v>0.9456</v>
      </c>
    </row>
    <row r="24" customFormat="false" ht="15" hidden="false" customHeight="false" outlineLevel="0" collapsed="false">
      <c r="A24" s="0" t="s">
        <v>314</v>
      </c>
      <c r="C24" s="41" t="n">
        <f aca="false">C23/AVERAGE($C$23:$N$23)</f>
        <v>0.9414</v>
      </c>
      <c r="D24" s="41" t="n">
        <f aca="false">D23/AVERAGE($C$23:$N$23)</f>
        <v>1.045</v>
      </c>
      <c r="E24" s="41" t="n">
        <f aca="false">E23/AVERAGE($C$23:$N$23)</f>
        <v>0.8747</v>
      </c>
      <c r="F24" s="41" t="n">
        <f aca="false">F23/AVERAGE($C$23:$N$23)</f>
        <v>0.9199</v>
      </c>
      <c r="G24" s="41" t="n">
        <f aca="false">G23/AVERAGE($C$23:$N$23)</f>
        <v>1.0142</v>
      </c>
      <c r="H24" s="41" t="n">
        <f aca="false">H23/AVERAGE($C$23:$N$23)</f>
        <v>1.0032</v>
      </c>
      <c r="I24" s="41" t="n">
        <f aca="false">I23/AVERAGE($C$23:$N$23)</f>
        <v>0.9653</v>
      </c>
      <c r="J24" s="41" t="n">
        <f aca="false">J23/AVERAGE($C$23:$N$23)</f>
        <v>1.1574</v>
      </c>
      <c r="K24" s="41" t="n">
        <f aca="false">K23/AVERAGE($C$23:$N$23)</f>
        <v>1.0284</v>
      </c>
      <c r="L24" s="41" t="n">
        <f aca="false">L23/AVERAGE($C$23:$N$23)</f>
        <v>1.0126</v>
      </c>
      <c r="M24" s="41" t="n">
        <f aca="false">M23/AVERAGE($C$23:$N$23)</f>
        <v>1.0923</v>
      </c>
      <c r="N24" s="41" t="n">
        <f aca="false">N23/AVERAGE($C$23:$N$23)</f>
        <v>0.9456</v>
      </c>
    </row>
    <row r="27" customFormat="false" ht="15" hidden="false" customHeight="false" outlineLevel="0" collapsed="false">
      <c r="A27" s="12" t="s">
        <v>315</v>
      </c>
    </row>
    <row r="28" customFormat="false" ht="54" hidden="false" customHeight="true" outlineLevel="0" collapsed="false">
      <c r="A28" s="6" t="s">
        <v>295</v>
      </c>
      <c r="B28" s="6"/>
      <c r="C28" s="6" t="s">
        <v>316</v>
      </c>
      <c r="D28" s="6" t="s">
        <v>317</v>
      </c>
      <c r="E28" s="6" t="s">
        <v>318</v>
      </c>
    </row>
    <row r="29" customFormat="false" ht="15" hidden="false" customHeight="false" outlineLevel="0" collapsed="false">
      <c r="A29" s="12" t="n">
        <v>2022</v>
      </c>
      <c r="C29" s="35" t="n">
        <v>37041.9</v>
      </c>
      <c r="D29" s="42" t="n">
        <v>1.7004</v>
      </c>
      <c r="E29" s="36" t="n">
        <f aca="false">IF(AND(ISNUMBER(C29),ISNUMBER(D29)),C29*D29,"")</f>
        <v>62986.04676</v>
      </c>
    </row>
    <row r="30" customFormat="false" ht="15" hidden="false" customHeight="false" outlineLevel="0" collapsed="false">
      <c r="A30" s="12" t="n">
        <v>2023</v>
      </c>
      <c r="C30" s="35" t="n">
        <v>35073.4</v>
      </c>
      <c r="D30" s="42" t="n">
        <v>1.7167</v>
      </c>
      <c r="E30" s="36" t="n">
        <f aca="false">IF(AND(ISNUMBER(C30),ISNUMBER(D30)),C30*D30,"")</f>
        <v>60210.50578</v>
      </c>
    </row>
    <row r="31" customFormat="false" ht="15" hidden="false" customHeight="false" outlineLevel="0" collapsed="false">
      <c r="A31" s="12" t="n">
        <v>2024</v>
      </c>
      <c r="C31" s="35" t="n">
        <v>50473.2</v>
      </c>
      <c r="D31" s="42" t="n">
        <v>1.2071</v>
      </c>
      <c r="E31" s="36" t="n">
        <f aca="false">IF(AND(ISNUMBER(C31),ISNUMBER(D31)),C31*D31,"")</f>
        <v>60926.19972</v>
      </c>
    </row>
    <row r="32" customFormat="false" ht="15" hidden="false" customHeight="false" outlineLevel="0" collapsed="false">
      <c r="A32" s="12" t="n">
        <v>2025</v>
      </c>
      <c r="C32" s="35" t="n">
        <v>52705.9</v>
      </c>
      <c r="D32" s="42" t="n">
        <v>1.1526</v>
      </c>
      <c r="E32" s="36" t="n">
        <f aca="false">IF(AND(ISNUMBER(C32),ISNUMBER(D32)),C32*D32,"")</f>
        <v>60748.82034</v>
      </c>
    </row>
    <row r="33" customFormat="false" ht="15" hidden="false" customHeight="false" outlineLevel="0" collapsed="false">
      <c r="A33" s="12" t="n">
        <v>2026</v>
      </c>
      <c r="C33" s="35" t="n">
        <v>59726.5</v>
      </c>
      <c r="D33" s="42" t="n">
        <v>1</v>
      </c>
      <c r="E33" s="36" t="n">
        <f aca="false">IF(AND(ISNUMBER(C33),ISNUMBER(D33)),C33*D33,"")</f>
        <v>59726.5</v>
      </c>
    </row>
    <row r="35" customFormat="false" ht="15" hidden="false" customHeight="false" outlineLevel="0" collapsed="false">
      <c r="A35" s="12" t="s">
        <v>319</v>
      </c>
      <c r="E35" s="36" t="n">
        <f aca="false">IF(COUNT(E29:E33)=5,SUM(E29:E33)/60,"")</f>
        <v>5076.63454333333</v>
      </c>
    </row>
    <row r="37" customFormat="false" ht="15" hidden="false" customHeight="false" outlineLevel="0" collapsed="false">
      <c r="A37" s="3" t="s">
        <v>320</v>
      </c>
    </row>
    <row r="38" customFormat="false" ht="15" hidden="false" customHeight="false" outlineLevel="0" collapsed="false">
      <c r="A38" s="3" t="s">
        <v>321</v>
      </c>
    </row>
    <row r="39" customFormat="false" ht="15" hidden="false" customHeight="false" outlineLevel="0" collapsed="false">
      <c r="A39" s="3" t="s">
        <v>322</v>
      </c>
    </row>
    <row r="40" customFormat="false" ht="15" hidden="false" customHeight="false" outlineLevel="0" collapsed="false">
      <c r="A40" s="3" t="s">
        <v>323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46"/>
    <col collapsed="false" customWidth="true" hidden="false" outlineLevel="0" max="7" min="7" style="0" width="16"/>
  </cols>
  <sheetData>
    <row r="1" customFormat="false" ht="24" hidden="false" customHeight="true" outlineLevel="0" collapsed="false">
      <c r="A1" s="1" t="s">
        <v>324</v>
      </c>
      <c r="B1" s="2"/>
      <c r="C1" s="2"/>
      <c r="D1" s="2"/>
    </row>
    <row r="2" customFormat="false" ht="15" hidden="false" customHeight="false" outlineLevel="0" collapsed="false">
      <c r="A2" s="3" t="s">
        <v>325</v>
      </c>
    </row>
    <row r="4" customFormat="false" ht="15" hidden="false" customHeight="false" outlineLevel="0" collapsed="false">
      <c r="A4" s="6" t="s">
        <v>70</v>
      </c>
      <c r="B4" s="6" t="s">
        <v>326</v>
      </c>
      <c r="C4" s="6" t="s">
        <v>327</v>
      </c>
      <c r="D4" s="6" t="s">
        <v>328</v>
      </c>
      <c r="F4" s="12" t="s">
        <v>329</v>
      </c>
    </row>
    <row r="5" customFormat="false" ht="15" hidden="false" customHeight="false" outlineLevel="0" collapsed="false">
      <c r="A5" s="43" t="n">
        <v>45992</v>
      </c>
      <c r="D5" s="44" t="n">
        <v>100</v>
      </c>
      <c r="F5" s="45" t="s">
        <v>330</v>
      </c>
      <c r="G5" s="46" t="n">
        <f aca="false">AVERAGE(D6:D17)</f>
        <v>103.111145356667</v>
      </c>
    </row>
    <row r="6" customFormat="false" ht="15" hidden="false" customHeight="false" outlineLevel="0" collapsed="false">
      <c r="A6" s="43" t="n">
        <v>46023</v>
      </c>
      <c r="B6" s="47" t="n">
        <v>0.0033</v>
      </c>
      <c r="C6" s="45" t="s">
        <v>331</v>
      </c>
      <c r="D6" s="46" t="n">
        <f aca="false">D5*(1+B6)</f>
        <v>100.33</v>
      </c>
      <c r="F6" s="45" t="s">
        <v>332</v>
      </c>
      <c r="G6" s="46" t="n">
        <f aca="false">SUM(D18:D29)</f>
        <v>1291.99487414705</v>
      </c>
    </row>
    <row r="7" customFormat="false" ht="15" hidden="false" customHeight="false" outlineLevel="0" collapsed="false">
      <c r="A7" s="43" t="n">
        <v>46054</v>
      </c>
      <c r="B7" s="47" t="n">
        <v>0.007</v>
      </c>
      <c r="C7" s="45" t="s">
        <v>331</v>
      </c>
      <c r="D7" s="46" t="n">
        <f aca="false">D6*(1+B7)</f>
        <v>101.03231</v>
      </c>
      <c r="F7" s="45" t="s">
        <v>333</v>
      </c>
      <c r="G7" s="36" t="n">
        <f aca="false">IF(ISNUMBER(refLC_mensal),refLC_mensal*(1+uplift)*G6/G5,"")</f>
        <v>64883.0492661198</v>
      </c>
    </row>
    <row r="8" customFormat="false" ht="15" hidden="false" customHeight="false" outlineLevel="0" collapsed="false">
      <c r="A8" s="43" t="n">
        <v>46082</v>
      </c>
      <c r="B8" s="47" t="n">
        <v>0.0088</v>
      </c>
      <c r="C8" s="45" t="s">
        <v>331</v>
      </c>
      <c r="D8" s="46" t="n">
        <f aca="false">D7*(1+B8)</f>
        <v>101.921394328</v>
      </c>
      <c r="F8" s="45" t="s">
        <v>334</v>
      </c>
      <c r="G8" s="38" t="n">
        <f aca="false">D17/D5-1</f>
        <v>0.0522</v>
      </c>
    </row>
    <row r="9" customFormat="false" ht="15" hidden="false" customHeight="false" outlineLevel="0" collapsed="false">
      <c r="A9" s="43" t="n">
        <v>46113</v>
      </c>
      <c r="B9" s="47" t="n">
        <v>0.0067</v>
      </c>
      <c r="C9" s="45" t="s">
        <v>331</v>
      </c>
      <c r="D9" s="46" t="n">
        <f aca="false">D8*(1+B9)</f>
        <v>102.604267669998</v>
      </c>
    </row>
    <row r="10" customFormat="false" ht="15" hidden="false" customHeight="false" outlineLevel="0" collapsed="false">
      <c r="A10" s="43" t="n">
        <v>46143</v>
      </c>
      <c r="B10" s="47" t="n">
        <v>0.0058</v>
      </c>
      <c r="C10" s="45" t="s">
        <v>331</v>
      </c>
      <c r="D10" s="46" t="n">
        <f aca="false">D9*(1+B10)</f>
        <v>103.199372422484</v>
      </c>
    </row>
    <row r="11" customFormat="false" ht="15" hidden="false" customHeight="false" outlineLevel="0" collapsed="false">
      <c r="A11" s="43" t="n">
        <v>46174</v>
      </c>
      <c r="B11" s="47" t="n">
        <v>0.0016</v>
      </c>
      <c r="C11" s="45" t="s">
        <v>331</v>
      </c>
      <c r="D11" s="46" t="n">
        <f aca="false">D10*(1+B11)</f>
        <v>103.36449141836</v>
      </c>
    </row>
    <row r="12" customFormat="false" ht="15" hidden="false" customHeight="false" outlineLevel="0" collapsed="false">
      <c r="A12" s="43" t="n">
        <v>46204</v>
      </c>
      <c r="B12" s="47" t="n">
        <v>0.0007</v>
      </c>
      <c r="C12" s="45" t="s">
        <v>331</v>
      </c>
      <c r="D12" s="46" t="n">
        <f aca="false">D11*(1+B12)</f>
        <v>103.436846562352</v>
      </c>
    </row>
    <row r="13" customFormat="false" ht="15" hidden="false" customHeight="false" outlineLevel="0" collapsed="false">
      <c r="A13" s="43" t="n">
        <v>46235</v>
      </c>
      <c r="B13" s="47" t="n">
        <v>-0.0032</v>
      </c>
      <c r="C13" s="45" t="s">
        <v>331</v>
      </c>
      <c r="D13" s="46" t="n">
        <f aca="false">D12*(1+B13)</f>
        <v>103.105848653353</v>
      </c>
    </row>
    <row r="14" customFormat="false" ht="15" hidden="false" customHeight="false" outlineLevel="0" collapsed="false">
      <c r="A14" s="43" t="n">
        <v>46266</v>
      </c>
      <c r="B14" s="47" t="n">
        <v>0.0082</v>
      </c>
      <c r="C14" s="45" t="s">
        <v>331</v>
      </c>
      <c r="D14" s="46" t="n">
        <f aca="false">D13*(1+B14)</f>
        <v>103.95131661231</v>
      </c>
    </row>
    <row r="15" customFormat="false" ht="15" hidden="false" customHeight="false" outlineLevel="0" collapsed="false">
      <c r="A15" s="43" t="n">
        <v>46296</v>
      </c>
      <c r="B15" s="48" t="n">
        <f aca="false">((1+focus26)*$D$5/$D$14)^(1/3)-1</f>
        <v>0.00405175835305949</v>
      </c>
      <c r="C15" s="45" t="s">
        <v>335</v>
      </c>
      <c r="D15" s="46" t="n">
        <f aca="false">D14*(1+B15)</f>
        <v>104.372502227706</v>
      </c>
    </row>
    <row r="16" customFormat="false" ht="15" hidden="false" customHeight="false" outlineLevel="0" collapsed="false">
      <c r="A16" s="43" t="n">
        <v>46327</v>
      </c>
      <c r="B16" s="48" t="n">
        <f aca="false">((1+focus26)*$D$5/$D$14)^(1/3)-1</f>
        <v>0.00405175835305949</v>
      </c>
      <c r="C16" s="45" t="s">
        <v>335</v>
      </c>
      <c r="D16" s="46" t="n">
        <f aca="false">D15*(1+B16)</f>
        <v>104.795394385437</v>
      </c>
    </row>
    <row r="17" customFormat="false" ht="15" hidden="false" customHeight="false" outlineLevel="0" collapsed="false">
      <c r="A17" s="43" t="n">
        <v>46357</v>
      </c>
      <c r="B17" s="48" t="n">
        <f aca="false">((1+focus26)*$D$5/$D$14)^(1/3)-1</f>
        <v>0.00405175835305949</v>
      </c>
      <c r="C17" s="45" t="s">
        <v>335</v>
      </c>
      <c r="D17" s="46" t="n">
        <f aca="false">D16*(1+B17)</f>
        <v>105.22</v>
      </c>
    </row>
    <row r="18" customFormat="false" ht="15" hidden="false" customHeight="false" outlineLevel="0" collapsed="false">
      <c r="A18" s="43" t="n">
        <v>46388</v>
      </c>
      <c r="B18" s="48" t="n">
        <f aca="false">(1+focus27)^(1/12)-1</f>
        <v>0.00353062738263699</v>
      </c>
      <c r="C18" s="45" t="s">
        <v>335</v>
      </c>
      <c r="D18" s="46" t="n">
        <f aca="false">D17*(1+B18)</f>
        <v>105.591492613201</v>
      </c>
    </row>
    <row r="19" customFormat="false" ht="15" hidden="false" customHeight="false" outlineLevel="0" collapsed="false">
      <c r="A19" s="43" t="n">
        <v>46419</v>
      </c>
      <c r="B19" s="48" t="n">
        <f aca="false">(1+focus27)^(1/12)-1</f>
        <v>0.00353062738263699</v>
      </c>
      <c r="C19" s="45" t="s">
        <v>335</v>
      </c>
      <c r="D19" s="46" t="n">
        <f aca="false">D18*(1+B19)</f>
        <v>105.964296828395</v>
      </c>
    </row>
    <row r="20" customFormat="false" ht="15" hidden="false" customHeight="false" outlineLevel="0" collapsed="false">
      <c r="A20" s="43" t="n">
        <v>46447</v>
      </c>
      <c r="B20" s="48" t="n">
        <f aca="false">(1+focus27)^(1/12)-1</f>
        <v>0.00353062738263699</v>
      </c>
      <c r="C20" s="45" t="s">
        <v>335</v>
      </c>
      <c r="D20" s="46" t="n">
        <f aca="false">D19*(1+B20)</f>
        <v>106.338417276359</v>
      </c>
    </row>
    <row r="21" customFormat="false" ht="15" hidden="false" customHeight="false" outlineLevel="0" collapsed="false">
      <c r="A21" s="43" t="n">
        <v>46478</v>
      </c>
      <c r="B21" s="48" t="n">
        <f aca="false">(1+focus27)^(1/12)-1</f>
        <v>0.00353062738263699</v>
      </c>
      <c r="C21" s="45" t="s">
        <v>335</v>
      </c>
      <c r="D21" s="46" t="n">
        <f aca="false">D20*(1+B21)</f>
        <v>106.713858604221</v>
      </c>
    </row>
    <row r="22" customFormat="false" ht="15" hidden="false" customHeight="false" outlineLevel="0" collapsed="false">
      <c r="A22" s="43" t="n">
        <v>46508</v>
      </c>
      <c r="B22" s="48" t="n">
        <f aca="false">(1+focus27)^(1/12)-1</f>
        <v>0.00353062738263699</v>
      </c>
      <c r="C22" s="45" t="s">
        <v>335</v>
      </c>
      <c r="D22" s="46" t="n">
        <f aca="false">D21*(1+B22)</f>
        <v>107.090625475516</v>
      </c>
    </row>
    <row r="23" customFormat="false" ht="15" hidden="false" customHeight="false" outlineLevel="0" collapsed="false">
      <c r="A23" s="43" t="n">
        <v>46539</v>
      </c>
      <c r="B23" s="48" t="n">
        <f aca="false">(1+focus27)^(1/12)-1</f>
        <v>0.00353062738263699</v>
      </c>
      <c r="C23" s="45" t="s">
        <v>335</v>
      </c>
      <c r="D23" s="46" t="n">
        <f aca="false">D22*(1+B23)</f>
        <v>107.468722570244</v>
      </c>
    </row>
    <row r="24" customFormat="false" ht="15" hidden="false" customHeight="false" outlineLevel="0" collapsed="false">
      <c r="A24" s="43" t="n">
        <v>46569</v>
      </c>
      <c r="B24" s="48" t="n">
        <f aca="false">(1+focus27)^(1/12)-1</f>
        <v>0.00353062738263699</v>
      </c>
      <c r="C24" s="45" t="s">
        <v>335</v>
      </c>
      <c r="D24" s="46" t="n">
        <f aca="false">D23*(1+B24)</f>
        <v>107.848154584927</v>
      </c>
    </row>
    <row r="25" customFormat="false" ht="15" hidden="false" customHeight="false" outlineLevel="0" collapsed="false">
      <c r="A25" s="43" t="n">
        <v>46600</v>
      </c>
      <c r="B25" s="48" t="n">
        <f aca="false">(1+focus27)^(1/12)-1</f>
        <v>0.00353062738263699</v>
      </c>
      <c r="C25" s="45" t="s">
        <v>335</v>
      </c>
      <c r="D25" s="46" t="n">
        <f aca="false">D24*(1+B25)</f>
        <v>108.228926232672</v>
      </c>
    </row>
    <row r="26" customFormat="false" ht="15" hidden="false" customHeight="false" outlineLevel="0" collapsed="false">
      <c r="A26" s="43" t="n">
        <v>46631</v>
      </c>
      <c r="B26" s="48" t="n">
        <f aca="false">(1+focus27)^(1/12)-1</f>
        <v>0.00353062738263699</v>
      </c>
      <c r="C26" s="45" t="s">
        <v>335</v>
      </c>
      <c r="D26" s="46" t="n">
        <f aca="false">D25*(1+B26)</f>
        <v>108.611042243222</v>
      </c>
    </row>
    <row r="27" customFormat="false" ht="15" hidden="false" customHeight="false" outlineLevel="0" collapsed="false">
      <c r="A27" s="43" t="n">
        <v>46661</v>
      </c>
      <c r="B27" s="48" t="n">
        <f aca="false">(1+focus27)^(1/12)-1</f>
        <v>0.00353062738263699</v>
      </c>
      <c r="C27" s="45" t="s">
        <v>335</v>
      </c>
      <c r="D27" s="46" t="n">
        <f aca="false">D26*(1+B27)</f>
        <v>108.994507363023</v>
      </c>
    </row>
    <row r="28" customFormat="false" ht="15" hidden="false" customHeight="false" outlineLevel="0" collapsed="false">
      <c r="A28" s="43" t="n">
        <v>46692</v>
      </c>
      <c r="B28" s="48" t="n">
        <f aca="false">(1+focus27)^(1/12)-1</f>
        <v>0.00353062738263699</v>
      </c>
      <c r="C28" s="45" t="s">
        <v>335</v>
      </c>
      <c r="D28" s="46" t="n">
        <f aca="false">D27*(1+B28)</f>
        <v>109.379326355276</v>
      </c>
    </row>
    <row r="29" customFormat="false" ht="15" hidden="false" customHeight="false" outlineLevel="0" collapsed="false">
      <c r="A29" s="43" t="n">
        <v>46722</v>
      </c>
      <c r="B29" s="48" t="n">
        <f aca="false">(1+focus27)^(1/12)-1</f>
        <v>0.00353062738263699</v>
      </c>
      <c r="C29" s="45" t="s">
        <v>335</v>
      </c>
      <c r="D29" s="46" t="n">
        <f aca="false">D28*(1+B29)</f>
        <v>109.765504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7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" min="3" style="0" width="7"/>
    <col collapsed="false" customWidth="true" hidden="false" outlineLevel="0" max="4" min="4" style="0" width="6"/>
    <col collapsed="false" customWidth="true" hidden="false" outlineLevel="0" max="37" min="5" style="0" width="15"/>
  </cols>
  <sheetData>
    <row r="1" customFormat="false" ht="24" hidden="false" customHeight="true" outlineLevel="0" collapsed="false">
      <c r="A1" s="1" t="s">
        <v>336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customFormat="false" ht="15" hidden="false" customHeight="false" outlineLevel="0" collapsed="false">
      <c r="A2" s="3" t="s">
        <v>337</v>
      </c>
    </row>
    <row r="3" customFormat="false" ht="15" hidden="false" customHeight="false" outlineLevel="0" collapsed="false">
      <c r="A3" s="12" t="s">
        <v>338</v>
      </c>
      <c r="C3" s="49" t="n">
        <f aca="false">isA_start</f>
        <v>3</v>
      </c>
    </row>
    <row r="4" customFormat="false" ht="15" hidden="false" customHeight="false" outlineLevel="0" collapsed="false">
      <c r="A4" s="12" t="s">
        <v>339</v>
      </c>
      <c r="C4" s="49" t="n">
        <f aca="false">isA_ramp</f>
        <v>1</v>
      </c>
    </row>
    <row r="5" customFormat="false" ht="15" hidden="false" customHeight="false" outlineLevel="0" collapsed="false">
      <c r="A5" s="12" t="s">
        <v>340</v>
      </c>
      <c r="C5" s="50" t="n">
        <f aca="false">isA_real</f>
        <v>1</v>
      </c>
    </row>
    <row r="7" customFormat="false" ht="66" hidden="false" customHeight="true" outlineLevel="0" collapsed="false">
      <c r="A7" s="6" t="s">
        <v>70</v>
      </c>
      <c r="B7" s="6" t="s">
        <v>295</v>
      </c>
      <c r="C7" s="6" t="s">
        <v>341</v>
      </c>
      <c r="D7" s="6" t="s">
        <v>342</v>
      </c>
      <c r="E7" s="6" t="s">
        <v>343</v>
      </c>
      <c r="F7" s="6" t="s">
        <v>344</v>
      </c>
      <c r="G7" s="6" t="s">
        <v>345</v>
      </c>
      <c r="H7" s="6" t="s">
        <v>346</v>
      </c>
      <c r="I7" s="6" t="s">
        <v>347</v>
      </c>
      <c r="J7" s="6" t="s">
        <v>348</v>
      </c>
      <c r="K7" s="6" t="s">
        <v>349</v>
      </c>
      <c r="L7" s="6" t="s">
        <v>350</v>
      </c>
      <c r="M7" s="6" t="s">
        <v>351</v>
      </c>
      <c r="N7" s="6" t="s">
        <v>352</v>
      </c>
      <c r="O7" s="6" t="s">
        <v>353</v>
      </c>
      <c r="P7" s="6" t="s">
        <v>354</v>
      </c>
      <c r="Q7" s="6" t="s">
        <v>355</v>
      </c>
      <c r="R7" s="6" t="s">
        <v>356</v>
      </c>
      <c r="S7" s="6" t="s">
        <v>357</v>
      </c>
      <c r="T7" s="6" t="s">
        <v>358</v>
      </c>
      <c r="U7" s="6" t="s">
        <v>359</v>
      </c>
      <c r="V7" s="6" t="s">
        <v>360</v>
      </c>
      <c r="W7" s="6" t="s">
        <v>361</v>
      </c>
      <c r="X7" s="6" t="s">
        <v>362</v>
      </c>
      <c r="Y7" s="6" t="s">
        <v>363</v>
      </c>
      <c r="Z7" s="6" t="s">
        <v>364</v>
      </c>
      <c r="AA7" s="6" t="s">
        <v>365</v>
      </c>
      <c r="AB7" s="6" t="s">
        <v>366</v>
      </c>
      <c r="AC7" s="6" t="s">
        <v>367</v>
      </c>
      <c r="AD7" s="6" t="s">
        <v>368</v>
      </c>
      <c r="AE7" s="6" t="s">
        <v>369</v>
      </c>
      <c r="AF7" s="6" t="s">
        <v>370</v>
      </c>
      <c r="AG7" s="6" t="s">
        <v>371</v>
      </c>
      <c r="AH7" s="6" t="s">
        <v>372</v>
      </c>
      <c r="AI7" s="6" t="s">
        <v>373</v>
      </c>
      <c r="AJ7" s="6" t="s">
        <v>374</v>
      </c>
      <c r="AK7" s="6" t="s">
        <v>375</v>
      </c>
    </row>
    <row r="8" customFormat="false" ht="15" hidden="false" customHeight="false" outlineLevel="0" collapsed="false">
      <c r="A8" s="51" t="n">
        <v>46023</v>
      </c>
      <c r="B8" s="52" t="n">
        <f aca="false">YEAR(A8)</f>
        <v>2026</v>
      </c>
      <c r="C8" s="52" t="n">
        <f aca="false">MONTH(A8)</f>
        <v>1</v>
      </c>
      <c r="D8" s="52" t="n">
        <f aca="false">ROW()-7</f>
        <v>1</v>
      </c>
      <c r="E8" s="53" t="n">
        <f aca="false">ipi_tot_26*(1-imp_share)/12*INDEX(seas_fg,C8)</f>
        <v>5119.32837439367</v>
      </c>
      <c r="F8" s="53" t="n">
        <f aca="false">ipi_tot_26*imp_share/12*INDEX(seas_fg,C8)</f>
        <v>2722.91346850809</v>
      </c>
      <c r="G8" s="53" t="n">
        <v>0</v>
      </c>
      <c r="H8" s="53" t="n">
        <f aca="false">INDEX($E$8:$E$31,MAX(1,D8-lag_rec))</f>
        <v>5119.32837439367</v>
      </c>
      <c r="I8" s="53" t="n">
        <f aca="false">F8</f>
        <v>2722.91346850809</v>
      </c>
      <c r="J8" s="53" t="n">
        <f aca="false">INDEX($G$8:$G$31,MAX(1,D8-lag_rec))</f>
        <v>0</v>
      </c>
      <c r="K8" s="53" t="n">
        <f aca="false">sh_same*H8+(1-sh_same)*INDEX($H$8:$H$31,MAX(1,D8-1))+(1-frac_imp)*I8+frac_imp*INDEX($I$8:$I$31,MAX(1,D8-1))</f>
        <v>7842.24184290177</v>
      </c>
      <c r="L8" s="53" t="n">
        <f aca="false">sh_same*J8+(1-sh_same)*INDEX($J$8:$J$31,MAX(1,D8-1))</f>
        <v>0</v>
      </c>
      <c r="M8" s="53" t="n">
        <f aca="false">K8+L8</f>
        <v>7842.24184290177</v>
      </c>
      <c r="N8" s="53" t="n">
        <f aca="false">p_reg*M8</f>
        <v>4470.07785045401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</row>
    <row r="9" customFormat="false" ht="15" hidden="false" customHeight="false" outlineLevel="0" collapsed="false">
      <c r="A9" s="51" t="n">
        <v>46054</v>
      </c>
      <c r="B9" s="52" t="n">
        <f aca="false">YEAR(A9)</f>
        <v>2026</v>
      </c>
      <c r="C9" s="52" t="n">
        <f aca="false">MONTH(A9)</f>
        <v>2</v>
      </c>
      <c r="D9" s="52" t="n">
        <f aca="false">ROW()-7</f>
        <v>2</v>
      </c>
      <c r="E9" s="53" t="n">
        <f aca="false">ipi_tot_26*(1-imp_share)/12*INDEX(seas_fg,C9)</f>
        <v>5682.70464334118</v>
      </c>
      <c r="F9" s="53" t="n">
        <f aca="false">ipi_tot_26*imp_share/12*INDEX(seas_fg,C9)</f>
        <v>3022.56700084019</v>
      </c>
      <c r="G9" s="53" t="n">
        <v>0</v>
      </c>
      <c r="H9" s="53" t="n">
        <f aca="false">INDEX($E$8:$E$31,MAX(1,D9-lag_rec))</f>
        <v>5119.32837439367</v>
      </c>
      <c r="I9" s="53" t="n">
        <f aca="false">F9</f>
        <v>3022.56700084019</v>
      </c>
      <c r="J9" s="53" t="n">
        <f aca="false">INDEX($G$8:$G$31,MAX(1,D9-lag_rec))</f>
        <v>0</v>
      </c>
      <c r="K9" s="53" t="n">
        <f aca="false">sh_same*H9+(1-sh_same)*INDEX($H$8:$H$31,MAX(1,D9-1))+(1-frac_imp)*I9+frac_imp*INDEX($I$8:$I$31,MAX(1,D9-1))</f>
        <v>7968.09632648125</v>
      </c>
      <c r="L9" s="53" t="n">
        <f aca="false">sh_same*J9+(1-sh_same)*INDEX($J$8:$J$31,MAX(1,D9-1))</f>
        <v>0</v>
      </c>
      <c r="M9" s="53" t="n">
        <f aca="false">K9+L9</f>
        <v>7968.09632648125</v>
      </c>
      <c r="N9" s="53" t="n">
        <f aca="false">p_reg*M9</f>
        <v>4541.81490609431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</row>
    <row r="10" customFormat="false" ht="15" hidden="false" customHeight="false" outlineLevel="0" collapsed="false">
      <c r="A10" s="51" t="n">
        <v>46082</v>
      </c>
      <c r="B10" s="52" t="n">
        <f aca="false">YEAR(A10)</f>
        <v>2026</v>
      </c>
      <c r="C10" s="52" t="n">
        <f aca="false">MONTH(A10)</f>
        <v>3</v>
      </c>
      <c r="D10" s="52" t="n">
        <f aca="false">ROW()-7</f>
        <v>3</v>
      </c>
      <c r="E10" s="53" t="n">
        <f aca="false">ipi_tot_26*(1-imp_share)/12*INDEX(seas_fg,C10)</f>
        <v>4756.61411629716</v>
      </c>
      <c r="F10" s="53" t="n">
        <f aca="false">ipi_tot_26*imp_share/12*INDEX(seas_fg,C10)</f>
        <v>2529.9898140047</v>
      </c>
      <c r="G10" s="53" t="n">
        <v>0</v>
      </c>
      <c r="H10" s="53" t="n">
        <f aca="false">INDEX($E$8:$E$31,MAX(1,D10-lag_rec))</f>
        <v>5682.70464334118</v>
      </c>
      <c r="I10" s="53" t="n">
        <f aca="false">F10</f>
        <v>2529.9898140047</v>
      </c>
      <c r="J10" s="53" t="n">
        <f aca="false">INDEX($G$8:$G$31,MAX(1,D10-lag_rec))</f>
        <v>0</v>
      </c>
      <c r="K10" s="53" t="n">
        <f aca="false">sh_same*H10+(1-sh_same)*INDEX($H$8:$H$31,MAX(1,D10-1))+(1-frac_imp)*I10+frac_imp*INDEX($I$8:$I$31,MAX(1,D10-1))</f>
        <v>8171.63098972091</v>
      </c>
      <c r="L10" s="53" t="n">
        <f aca="false">sh_same*J10+(1-sh_same)*INDEX($J$8:$J$31,MAX(1,D10-1))</f>
        <v>0</v>
      </c>
      <c r="M10" s="53" t="n">
        <f aca="false">K10+L10</f>
        <v>8171.63098972091</v>
      </c>
      <c r="N10" s="53" t="n">
        <f aca="false">p_reg*M10</f>
        <v>4657.82966414092</v>
      </c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customFormat="false" ht="15" hidden="false" customHeight="false" outlineLevel="0" collapsed="false">
      <c r="A11" s="51" t="n">
        <v>46113</v>
      </c>
      <c r="B11" s="52" t="n">
        <f aca="false">YEAR(A11)</f>
        <v>2026</v>
      </c>
      <c r="C11" s="52" t="n">
        <f aca="false">MONTH(A11)</f>
        <v>4</v>
      </c>
      <c r="D11" s="52" t="n">
        <f aca="false">ROW()-7</f>
        <v>4</v>
      </c>
      <c r="E11" s="53" t="n">
        <f aca="false">ipi_tot_26*(1-imp_share)/12*INDEX(seas_fg,C11)</f>
        <v>5002.41148460244</v>
      </c>
      <c r="F11" s="53" t="n">
        <f aca="false">ipi_tot_26*imp_share/12*INDEX(seas_fg,C11)</f>
        <v>2660.72668332334</v>
      </c>
      <c r="G11" s="53" t="n">
        <v>0</v>
      </c>
      <c r="H11" s="53" t="n">
        <f aca="false">INDEX($E$8:$E$31,MAX(1,D11-lag_rec))</f>
        <v>4756.61411629716</v>
      </c>
      <c r="I11" s="53" t="n">
        <f aca="false">F11</f>
        <v>2660.72668332334</v>
      </c>
      <c r="J11" s="53" t="n">
        <f aca="false">INDEX($G$8:$G$31,MAX(1,D11-lag_rec))</f>
        <v>0</v>
      </c>
      <c r="K11" s="53" t="n">
        <f aca="false">sh_same*H11+(1-sh_same)*INDEX($H$8:$H$31,MAX(1,D11-1))+(1-frac_imp)*I11+frac_imp*INDEX($I$8:$I$31,MAX(1,D11-1))</f>
        <v>7878.64592110122</v>
      </c>
      <c r="L11" s="53" t="n">
        <f aca="false">sh_same*J11+(1-sh_same)*INDEX($J$8:$J$31,MAX(1,D11-1))</f>
        <v>0</v>
      </c>
      <c r="M11" s="53" t="n">
        <f aca="false">K11+L11</f>
        <v>7878.64592110122</v>
      </c>
      <c r="N11" s="53" t="n">
        <f aca="false">p_reg*M11</f>
        <v>4490.8281750277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</row>
    <row r="12" customFormat="false" ht="15" hidden="false" customHeight="false" outlineLevel="0" collapsed="false">
      <c r="A12" s="51" t="n">
        <v>46143</v>
      </c>
      <c r="B12" s="52" t="n">
        <f aca="false">YEAR(A12)</f>
        <v>2026</v>
      </c>
      <c r="C12" s="52" t="n">
        <f aca="false">MONTH(A12)</f>
        <v>5</v>
      </c>
      <c r="D12" s="52" t="n">
        <f aca="false">ROW()-7</f>
        <v>5</v>
      </c>
      <c r="E12" s="53" t="n">
        <f aca="false">ipi_tot_26*(1-imp_share)/12*INDEX(seas_fg,C12)</f>
        <v>5515.21440122165</v>
      </c>
      <c r="F12" s="53" t="n">
        <f aca="false">ipi_tot_26*imp_share/12*INDEX(seas_fg,C12)</f>
        <v>2933.48081555227</v>
      </c>
      <c r="G12" s="53" t="n">
        <v>0</v>
      </c>
      <c r="H12" s="53" t="n">
        <f aca="false">INDEX($E$8:$E$31,MAX(1,D12-lag_rec))</f>
        <v>5002.41148460244</v>
      </c>
      <c r="I12" s="53" t="n">
        <f aca="false">F12</f>
        <v>2933.48081555227</v>
      </c>
      <c r="J12" s="53" t="n">
        <f aca="false">INDEX($G$8:$G$31,MAX(1,D12-lag_rec))</f>
        <v>0</v>
      </c>
      <c r="K12" s="53" t="n">
        <f aca="false">sh_same*H12+(1-sh_same)*INDEX($H$8:$H$31,MAX(1,D12-1))+(1-frac_imp)*I12+frac_imp*INDEX($I$8:$I$31,MAX(1,D12-1))</f>
        <v>7635.13242984487</v>
      </c>
      <c r="L12" s="53" t="n">
        <f aca="false">sh_same*J12+(1-sh_same)*INDEX($J$8:$J$31,MAX(1,D12-1))</f>
        <v>0</v>
      </c>
      <c r="M12" s="53" t="n">
        <f aca="false">K12+L12</f>
        <v>7635.13242984487</v>
      </c>
      <c r="N12" s="53" t="n">
        <f aca="false">p_reg*M12</f>
        <v>4352.02548501158</v>
      </c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</row>
    <row r="13" customFormat="false" ht="15" hidden="false" customHeight="false" outlineLevel="0" collapsed="false">
      <c r="A13" s="51" t="n">
        <v>46174</v>
      </c>
      <c r="B13" s="52" t="n">
        <f aca="false">YEAR(A13)</f>
        <v>2026</v>
      </c>
      <c r="C13" s="52" t="n">
        <f aca="false">MONTH(A13)</f>
        <v>6</v>
      </c>
      <c r="D13" s="52" t="n">
        <f aca="false">ROW()-7</f>
        <v>6</v>
      </c>
      <c r="E13" s="53" t="n">
        <f aca="false">ipi_tot_26*(1-imp_share)/12*INDEX(seas_fg,C13)</f>
        <v>5455.39645760753</v>
      </c>
      <c r="F13" s="53" t="n">
        <f aca="false">ipi_tot_26*imp_share/12*INDEX(seas_fg,C13)</f>
        <v>2901.66432080659</v>
      </c>
      <c r="G13" s="53" t="n">
        <v>0</v>
      </c>
      <c r="H13" s="53" t="n">
        <f aca="false">INDEX($E$8:$E$31,MAX(1,D13-lag_rec))</f>
        <v>5515.21440122165</v>
      </c>
      <c r="I13" s="53" t="n">
        <f aca="false">F13</f>
        <v>2901.66432080659</v>
      </c>
      <c r="J13" s="53" t="n">
        <f aca="false">INDEX($G$8:$G$31,MAX(1,D13-lag_rec))</f>
        <v>0</v>
      </c>
      <c r="K13" s="53" t="n">
        <f aca="false">sh_same*H13+(1-sh_same)*INDEX($H$8:$H$31,MAX(1,D13-1))+(1-frac_imp)*I13+frac_imp*INDEX($I$8:$I$31,MAX(1,D13-1))</f>
        <v>8137.90659734159</v>
      </c>
      <c r="L13" s="53" t="n">
        <f aca="false">sh_same*J13+(1-sh_same)*INDEX($J$8:$J$31,MAX(1,D13-1))</f>
        <v>0</v>
      </c>
      <c r="M13" s="53" t="n">
        <f aca="false">K13+L13</f>
        <v>8137.90659734159</v>
      </c>
      <c r="N13" s="53" t="n">
        <f aca="false">p_reg*M13</f>
        <v>4638.60676048471</v>
      </c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</row>
    <row r="14" customFormat="false" ht="15" hidden="false" customHeight="false" outlineLevel="0" collapsed="false">
      <c r="A14" s="51" t="n">
        <v>46204</v>
      </c>
      <c r="B14" s="52" t="n">
        <f aca="false">YEAR(A14)</f>
        <v>2026</v>
      </c>
      <c r="C14" s="52" t="n">
        <f aca="false">MONTH(A14)</f>
        <v>7</v>
      </c>
      <c r="D14" s="52" t="n">
        <f aca="false">ROW()-7</f>
        <v>7</v>
      </c>
      <c r="E14" s="53" t="n">
        <f aca="false">ipi_tot_26*(1-imp_share)/12*INDEX(seas_fg,C14)</f>
        <v>5249.29645188253</v>
      </c>
      <c r="F14" s="53" t="n">
        <f aca="false">ipi_tot_26*imp_share/12*INDEX(seas_fg,C14)</f>
        <v>2792.04203436463</v>
      </c>
      <c r="G14" s="53" t="n">
        <v>0</v>
      </c>
      <c r="H14" s="53" t="n">
        <f aca="false">INDEX($E$8:$E$31,MAX(1,D14-lag_rec))</f>
        <v>5455.39645760753</v>
      </c>
      <c r="I14" s="53" t="n">
        <f aca="false">F14</f>
        <v>2792.04203436463</v>
      </c>
      <c r="J14" s="53" t="n">
        <f aca="false">INDEX($G$8:$G$31,MAX(1,D14-lag_rec))</f>
        <v>0</v>
      </c>
      <c r="K14" s="53" t="n">
        <f aca="false">sh_same*H14+(1-sh_same)*INDEX($H$8:$H$31,MAX(1,D14-1))+(1-frac_imp)*I14+frac_imp*INDEX($I$8:$I$31,MAX(1,D14-1))</f>
        <v>8345.71382540469</v>
      </c>
      <c r="L14" s="53" t="n">
        <f aca="false">sh_same*J14+(1-sh_same)*INDEX($J$8:$J$31,MAX(1,D14-1))</f>
        <v>0</v>
      </c>
      <c r="M14" s="53" t="n">
        <f aca="false">K14+L14</f>
        <v>8345.71382540469</v>
      </c>
      <c r="N14" s="53" t="n">
        <f aca="false">p_reg*M14</f>
        <v>4757.05688048067</v>
      </c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</row>
    <row r="15" customFormat="false" ht="15" hidden="false" customHeight="false" outlineLevel="0" collapsed="false">
      <c r="A15" s="51" t="n">
        <v>46235</v>
      </c>
      <c r="B15" s="52" t="n">
        <f aca="false">YEAR(A15)</f>
        <v>2026</v>
      </c>
      <c r="C15" s="52" t="n">
        <f aca="false">MONTH(A15)</f>
        <v>8</v>
      </c>
      <c r="D15" s="52" t="n">
        <f aca="false">ROW()-7</f>
        <v>8</v>
      </c>
      <c r="E15" s="53" t="n">
        <f aca="false">ipi_tot_26*(1-imp_share)/12*INDEX(seas_fg,C15)</f>
        <v>6293.93526717998</v>
      </c>
      <c r="F15" s="53" t="n">
        <f aca="false">ipi_tot_26*imp_share/12*INDEX(seas_fg,C15)</f>
        <v>3347.67372896884</v>
      </c>
      <c r="G15" s="53" t="n">
        <v>0</v>
      </c>
      <c r="H15" s="53" t="n">
        <f aca="false">INDEX($E$8:$E$31,MAX(1,D15-lag_rec))</f>
        <v>5249.29645188253</v>
      </c>
      <c r="I15" s="53" t="n">
        <f aca="false">F15</f>
        <v>3347.67372896884</v>
      </c>
      <c r="J15" s="53" t="n">
        <f aca="false">INDEX($G$8:$G$31,MAX(1,D15-lag_rec))</f>
        <v>0</v>
      </c>
      <c r="K15" s="53" t="n">
        <f aca="false">sh_same*H15+(1-sh_same)*INDEX($H$8:$H$31,MAX(1,D15-1))+(1-frac_imp)*I15+frac_imp*INDEX($I$8:$I$31,MAX(1,D15-1))</f>
        <v>8394.24180130143</v>
      </c>
      <c r="L15" s="53" t="n">
        <f aca="false">sh_same*J15+(1-sh_same)*INDEX($J$8:$J$31,MAX(1,D15-1))</f>
        <v>0</v>
      </c>
      <c r="M15" s="53" t="n">
        <f aca="false">K15+L15</f>
        <v>8394.24180130143</v>
      </c>
      <c r="N15" s="53" t="n">
        <f aca="false">p_reg*M15</f>
        <v>4784.71782674182</v>
      </c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</row>
    <row r="16" customFormat="false" ht="15" hidden="false" customHeight="false" outlineLevel="0" collapsed="false">
      <c r="A16" s="51" t="n">
        <v>46266</v>
      </c>
      <c r="B16" s="52" t="n">
        <f aca="false">YEAR(A16)</f>
        <v>2026</v>
      </c>
      <c r="C16" s="52" t="n">
        <f aca="false">MONTH(A16)</f>
        <v>9</v>
      </c>
      <c r="D16" s="52" t="n">
        <f aca="false">ROW()-7</f>
        <v>9</v>
      </c>
      <c r="E16" s="53" t="n">
        <f aca="false">ipi_tot_26*(1-imp_share)/12*INDEX(seas_fg,C16)</f>
        <v>5592.4339284326</v>
      </c>
      <c r="F16" s="53" t="n">
        <f aca="false">ipi_tot_26*imp_share/12*INDEX(seas_fg,C16)</f>
        <v>2974.55301786034</v>
      </c>
      <c r="G16" s="53" t="n">
        <v>0</v>
      </c>
      <c r="H16" s="53" t="n">
        <f aca="false">INDEX($E$8:$E$31,MAX(1,D16-lag_rec))</f>
        <v>6293.93526717998</v>
      </c>
      <c r="I16" s="53" t="n">
        <f aca="false">F16</f>
        <v>2974.55301786034</v>
      </c>
      <c r="J16" s="53" t="n">
        <f aca="false">INDEX($G$8:$G$31,MAX(1,D16-lag_rec))</f>
        <v>0</v>
      </c>
      <c r="K16" s="53" t="n">
        <f aca="false">sh_same*H16+(1-sh_same)*INDEX($H$8:$H$31,MAX(1,D16-1))+(1-frac_imp)*I16+frac_imp*INDEX($I$8:$I$31,MAX(1,D16-1))</f>
        <v>8879.00778461073</v>
      </c>
      <c r="L16" s="53" t="n">
        <f aca="false">sh_same*J16+(1-sh_same)*INDEX($J$8:$J$31,MAX(1,D16-1))</f>
        <v>0</v>
      </c>
      <c r="M16" s="53" t="n">
        <f aca="false">K16+L16</f>
        <v>8879.00778461073</v>
      </c>
      <c r="N16" s="53" t="n">
        <f aca="false">p_reg*M16</f>
        <v>5061.03443722811</v>
      </c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customFormat="false" ht="15" hidden="false" customHeight="false" outlineLevel="0" collapsed="false">
      <c r="A17" s="51" t="n">
        <v>46296</v>
      </c>
      <c r="B17" s="52" t="n">
        <f aca="false">YEAR(A17)</f>
        <v>2026</v>
      </c>
      <c r="C17" s="52" t="n">
        <f aca="false">MONTH(A17)</f>
        <v>10</v>
      </c>
      <c r="D17" s="52" t="n">
        <f aca="false">ROW()-7</f>
        <v>10</v>
      </c>
      <c r="E17" s="53" t="n">
        <f aca="false">ipi_tot_26*(1-imp_share)/12*INDEX(seas_fg,C17)</f>
        <v>5506.51360942323</v>
      </c>
      <c r="F17" s="53" t="n">
        <f aca="false">ipi_tot_26*imp_share/12*INDEX(seas_fg,C17)</f>
        <v>2928.85296177108</v>
      </c>
      <c r="G17" s="53" t="n">
        <v>0</v>
      </c>
      <c r="H17" s="53" t="n">
        <f aca="false">INDEX($E$8:$E$31,MAX(1,D17-lag_rec))</f>
        <v>5592.4339284326</v>
      </c>
      <c r="I17" s="53" t="n">
        <f aca="false">F17</f>
        <v>2928.85296177108</v>
      </c>
      <c r="J17" s="53" t="n">
        <f aca="false">INDEX($G$8:$G$31,MAX(1,D17-lag_rec))</f>
        <v>0</v>
      </c>
      <c r="K17" s="53" t="n">
        <f aca="false">sh_same*H17+(1-sh_same)*INDEX($H$8:$H$31,MAX(1,D17-1))+(1-frac_imp)*I17+frac_imp*INDEX($I$8:$I$31,MAX(1,D17-1))</f>
        <v>8954.66369920893</v>
      </c>
      <c r="L17" s="53" t="n">
        <f aca="false">sh_same*J17+(1-sh_same)*INDEX($J$8:$J$31,MAX(1,D17-1))</f>
        <v>0</v>
      </c>
      <c r="M17" s="53" t="n">
        <f aca="false">K17+L17</f>
        <v>8954.66369920893</v>
      </c>
      <c r="N17" s="53" t="n">
        <f aca="false">p_reg*M17</f>
        <v>5104.15830854909</v>
      </c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</row>
    <row r="18" customFormat="false" ht="15" hidden="false" customHeight="false" outlineLevel="0" collapsed="false">
      <c r="A18" s="51" t="n">
        <v>46327</v>
      </c>
      <c r="B18" s="52" t="n">
        <f aca="false">YEAR(A18)</f>
        <v>2026</v>
      </c>
      <c r="C18" s="52" t="n">
        <f aca="false">MONTH(A18)</f>
        <v>11</v>
      </c>
      <c r="D18" s="52" t="n">
        <f aca="false">ROW()-7</f>
        <v>11</v>
      </c>
      <c r="E18" s="53" t="n">
        <f aca="false">ipi_tot_26*(1-imp_share)/12*INDEX(seas_fg,C18)</f>
        <v>5939.92180088189</v>
      </c>
      <c r="F18" s="53" t="n">
        <f aca="false">ipi_tot_26*imp_share/12*INDEX(seas_fg,C18)</f>
        <v>3159.37792824664</v>
      </c>
      <c r="G18" s="53" t="n">
        <v>0</v>
      </c>
      <c r="H18" s="53" t="n">
        <f aca="false">INDEX($E$8:$E$31,MAX(1,D18-lag_rec))</f>
        <v>5506.51360942323</v>
      </c>
      <c r="I18" s="53" t="n">
        <f aca="false">F18</f>
        <v>3159.37792824664</v>
      </c>
      <c r="J18" s="53" t="n">
        <f aca="false">INDEX($G$8:$G$31,MAX(1,D18-lag_rec))</f>
        <v>0</v>
      </c>
      <c r="K18" s="53" t="n">
        <f aca="false">sh_same*H18+(1-sh_same)*INDEX($H$8:$H$31,MAX(1,D18-1))+(1-frac_imp)*I18+frac_imp*INDEX($I$8:$I$31,MAX(1,D18-1))</f>
        <v>8582.02084213948</v>
      </c>
      <c r="L18" s="53" t="n">
        <f aca="false">sh_same*J18+(1-sh_same)*INDEX($J$8:$J$31,MAX(1,D18-1))</f>
        <v>0</v>
      </c>
      <c r="M18" s="53" t="n">
        <f aca="false">K18+L18</f>
        <v>8582.02084213948</v>
      </c>
      <c r="N18" s="53" t="n">
        <f aca="false">p_reg*M18</f>
        <v>4891.75188001951</v>
      </c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</row>
    <row r="19" customFormat="false" ht="15" hidden="false" customHeight="false" outlineLevel="0" collapsed="false">
      <c r="A19" s="51" t="n">
        <v>46357</v>
      </c>
      <c r="B19" s="52" t="n">
        <f aca="false">YEAR(A19)</f>
        <v>2026</v>
      </c>
      <c r="C19" s="52" t="n">
        <f aca="false">MONTH(A19)</f>
        <v>12</v>
      </c>
      <c r="D19" s="52" t="n">
        <f aca="false">ROW()-7</f>
        <v>12</v>
      </c>
      <c r="E19" s="53" t="n">
        <f aca="false">ipi_tot_26*(1-imp_share)/12*INDEX(seas_fg,C19)</f>
        <v>5142.16795286452</v>
      </c>
      <c r="F19" s="53" t="n">
        <f aca="false">ipi_tot_26*imp_share/12*INDEX(seas_fg,C19)</f>
        <v>2735.06158468372</v>
      </c>
      <c r="G19" s="53" t="n">
        <v>0</v>
      </c>
      <c r="H19" s="53" t="n">
        <f aca="false">INDEX($E$8:$E$31,MAX(1,D19-lag_rec))</f>
        <v>5939.92180088189</v>
      </c>
      <c r="I19" s="53" t="n">
        <f aca="false">F19</f>
        <v>2735.06158468372</v>
      </c>
      <c r="J19" s="53" t="n">
        <f aca="false">INDEX($G$8:$G$31,MAX(1,D19-lag_rec))</f>
        <v>0</v>
      </c>
      <c r="K19" s="53" t="n">
        <f aca="false">sh_same*H19+(1-sh_same)*INDEX($H$8:$H$31,MAX(1,D19-1))+(1-frac_imp)*I19+frac_imp*INDEX($I$8:$I$31,MAX(1,D19-1))</f>
        <v>8669.71011378608</v>
      </c>
      <c r="L19" s="53" t="n">
        <f aca="false">sh_same*J19+(1-sh_same)*INDEX($J$8:$J$31,MAX(1,D19-1))</f>
        <v>0</v>
      </c>
      <c r="M19" s="53" t="n">
        <f aca="false">K19+L19</f>
        <v>8669.71011378608</v>
      </c>
      <c r="N19" s="53" t="n">
        <f aca="false">p_reg*M19</f>
        <v>4941.73476485807</v>
      </c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</row>
    <row r="20" customFormat="false" ht="15" hidden="false" customHeight="false" outlineLevel="0" collapsed="false">
      <c r="A20" s="54" t="n">
        <v>46388</v>
      </c>
      <c r="B20" s="55" t="n">
        <f aca="false">YEAR(A20)</f>
        <v>2027</v>
      </c>
      <c r="C20" s="55" t="n">
        <f aca="false">MONTH(A20)</f>
        <v>1</v>
      </c>
      <c r="D20" s="55" t="n">
        <f aca="false">ROW()-7</f>
        <v>13</v>
      </c>
      <c r="E20" s="10" t="n">
        <f aca="false">ipi_tot_27/12*INDEX(seas_fg,C20)</f>
        <v>431.269952182526</v>
      </c>
      <c r="F20" s="10" t="n">
        <v>0</v>
      </c>
      <c r="G20" s="10" t="n">
        <f aca="false">IF(C20&lt;$C$3,0,is_tot_27/12*$C$5*MIN(1,(C20-$C$3+1)/$C$4))</f>
        <v>0</v>
      </c>
      <c r="H20" s="10" t="n">
        <f aca="false">INDEX($E$8:$E$31,MAX(1,D20-lag_rec))</f>
        <v>5142.16795286452</v>
      </c>
      <c r="I20" s="10" t="n">
        <f aca="false">F20</f>
        <v>0</v>
      </c>
      <c r="J20" s="10" t="n">
        <f aca="false">INDEX($G$8:$G$31,MAX(1,D20-lag_rec))</f>
        <v>0</v>
      </c>
      <c r="K20" s="10" t="n">
        <f aca="false">sh_same*H20+(1-sh_same)*INDEX($H$8:$H$31,MAX(1,D20-1))+(1-frac_imp)*I20+frac_imp*INDEX($I$8:$I$31,MAX(1,D20-1))</f>
        <v>7191.20090383115</v>
      </c>
      <c r="L20" s="10" t="n">
        <f aca="false">sh_same*J20+(1-sh_same)*INDEX($J$8:$J$31,MAX(1,D20-1))</f>
        <v>0</v>
      </c>
      <c r="M20" s="10" t="n">
        <f aca="false">K20+L20</f>
        <v>7191.20090383115</v>
      </c>
      <c r="N20" s="10" t="n">
        <f aca="false">p_reg*M20</f>
        <v>4098.98451518375</v>
      </c>
      <c r="O20" s="10" t="n">
        <f aca="false">IF(OR(C20=7,C20=9,C20=12),ext_each*SUM(H8:J19),0)</f>
        <v>0</v>
      </c>
      <c r="P20" s="10" t="n">
        <f aca="false">N20+O20</f>
        <v>4098.98451518375</v>
      </c>
      <c r="Q20" s="10" t="n">
        <f aca="false">ref_anual*INDEX(IPCA!$D$18:$D$29,C20)/sum_idx27</f>
        <v>5302.72848166552</v>
      </c>
      <c r="R20" s="10" t="n">
        <f aca="false">Q20-P20</f>
        <v>1203.74396648176</v>
      </c>
      <c r="S20" s="10" t="n">
        <v>0</v>
      </c>
      <c r="T20" s="10" t="n">
        <f aca="false">R20+S20</f>
        <v>1203.74396648176</v>
      </c>
      <c r="U20" s="10" t="n">
        <f aca="false">MAX(0,T20)</f>
        <v>1203.74396648176</v>
      </c>
      <c r="V20" s="10" t="n">
        <f aca="false">IF(cap_on=1,MIN(IF(D20-lag_comp&lt;13,0,INDEX($U$8:$U$31,D20-lag_comp)),MAX(0,comp_fundo-0)),IF(D20-lag_comp&lt;13,0,INDEX($U$8:$U$31,D20-lag_comp)))</f>
        <v>0</v>
      </c>
      <c r="W20" s="10" t="n">
        <f aca="false">P20+V20</f>
        <v>4098.98451518375</v>
      </c>
      <c r="X20" s="10" t="n">
        <f aca="false">s_T*p_fpm_reg*M20</f>
        <v>8.74794596297175</v>
      </c>
      <c r="Y20" s="10" t="n">
        <f aca="false">s_T*O20</f>
        <v>0</v>
      </c>
      <c r="Z20" s="10" t="n">
        <f aca="false">s_T*(p_fpm_reg/p_all)*V20</f>
        <v>0</v>
      </c>
      <c r="AA20" s="10" t="n">
        <f aca="false">s_T*(p_fpm_ext/p_all)*V20</f>
        <v>0</v>
      </c>
      <c r="AB20" s="10" t="n">
        <f aca="false">fundeb*(X20+Z20)</f>
        <v>1.74958919259435</v>
      </c>
      <c r="AC20" s="10" t="n">
        <f aca="false">X20+Y20-fundeb*X20</f>
        <v>6.9983567703774</v>
      </c>
      <c r="AD20" s="10" t="n">
        <f aca="false">Z20+AA20-fundeb*Z20</f>
        <v>0</v>
      </c>
      <c r="AE20" s="10" t="n">
        <f aca="false">AC20+AD20</f>
        <v>6.9983567703774</v>
      </c>
      <c r="AF20" s="10" t="n">
        <f aca="false">s_T*Q20*(p_fpm_reg/p_all*(1-fundeb)+p_fpm_ext/p_all)</f>
        <v>10.0343578783113</v>
      </c>
      <c r="AG20" s="10" t="n">
        <f aca="false">AE20-AF20</f>
        <v>-3.0360011079339</v>
      </c>
      <c r="AH20" s="10" t="n">
        <f aca="false">SUM($AG$20:AG20)</f>
        <v>-3.0360011079339</v>
      </c>
      <c r="AI20" s="10" t="n">
        <f aca="false">share_ipiis*(orc_cota*INDEX(w_fpm,C20)*(1-fundeb)+IF(OR(C20=7,C20=9,C20=12),orc_extra/3,0))</f>
        <v>4.14364388547174</v>
      </c>
      <c r="AJ20" s="10" t="n">
        <f aca="false">AC20-AI20</f>
        <v>2.85471288490566</v>
      </c>
      <c r="AK20" s="10" t="n">
        <f aca="false">SUM($AJ$20:AJ20)</f>
        <v>2.85471288490566</v>
      </c>
    </row>
    <row r="21" customFormat="false" ht="15" hidden="false" customHeight="false" outlineLevel="0" collapsed="false">
      <c r="A21" s="54" t="n">
        <v>46419</v>
      </c>
      <c r="B21" s="55" t="n">
        <f aca="false">YEAR(A21)</f>
        <v>2027</v>
      </c>
      <c r="C21" s="55" t="n">
        <f aca="false">MONTH(A21)</f>
        <v>2</v>
      </c>
      <c r="D21" s="55" t="n">
        <f aca="false">ROW()-7</f>
        <v>14</v>
      </c>
      <c r="E21" s="10" t="n">
        <f aca="false">ipi_tot_27/12*INDEX(seas_fg,C21)</f>
        <v>478.730720236605</v>
      </c>
      <c r="F21" s="10" t="n">
        <v>0</v>
      </c>
      <c r="G21" s="10" t="n">
        <f aca="false">IF(C21&lt;$C$3,0,is_tot_27/12*$C$5*MIN(1,(C21-$C$3+1)/$C$4))</f>
        <v>0</v>
      </c>
      <c r="H21" s="10" t="n">
        <f aca="false">INDEX($E$8:$E$31,MAX(1,D21-lag_rec))</f>
        <v>431.269952182526</v>
      </c>
      <c r="I21" s="10" t="n">
        <f aca="false">F21</f>
        <v>0</v>
      </c>
      <c r="J21" s="10" t="n">
        <f aca="false">INDEX($G$8:$G$31,MAX(1,D21-lag_rec))</f>
        <v>0</v>
      </c>
      <c r="K21" s="10" t="n">
        <f aca="false">sh_same*H21+(1-sh_same)*INDEX($H$8:$H$31,MAX(1,D21-1))+(1-frac_imp)*I21+frac_imp*INDEX($I$8:$I$31,MAX(1,D21-1))</f>
        <v>3163.59079257808</v>
      </c>
      <c r="L21" s="10" t="n">
        <f aca="false">sh_same*J21+(1-sh_same)*INDEX($J$8:$J$31,MAX(1,D21-1))</f>
        <v>0</v>
      </c>
      <c r="M21" s="10" t="n">
        <f aca="false">K21+L21</f>
        <v>3163.59079257808</v>
      </c>
      <c r="N21" s="10" t="n">
        <f aca="false">p_reg*M21</f>
        <v>1803.24675176951</v>
      </c>
      <c r="O21" s="10" t="n">
        <f aca="false">IF(OR(C21=7,C21=9,C21=12),ext_each*SUM(H9:J20),0)</f>
        <v>0</v>
      </c>
      <c r="P21" s="10" t="n">
        <f aca="false">N21+O21</f>
        <v>1803.24675176951</v>
      </c>
      <c r="Q21" s="10" t="n">
        <f aca="false">ref_anual*INDEX(IPCA!$D$18:$D$29,C21)/sum_idx27</f>
        <v>5321.45044004558</v>
      </c>
      <c r="R21" s="10" t="n">
        <f aca="false">Q21-P21</f>
        <v>3518.20368827607</v>
      </c>
      <c r="S21" s="10" t="n">
        <f aca="false">MIN(0,T20)</f>
        <v>0</v>
      </c>
      <c r="T21" s="10" t="n">
        <f aca="false">R21+S21</f>
        <v>3518.20368827607</v>
      </c>
      <c r="U21" s="10" t="n">
        <f aca="false">MAX(0,T21)</f>
        <v>3518.20368827607</v>
      </c>
      <c r="V21" s="10" t="n">
        <f aca="false">IF(cap_on=1,MIN(IF(D21-lag_comp&lt;13,0,INDEX($U$8:$U$31,D21-lag_comp)),MAX(0,comp_fundo-SUM($V$20:V20))),IF(D21-lag_comp&lt;13,0,INDEX($U$8:$U$31,D21-lag_comp)))</f>
        <v>0</v>
      </c>
      <c r="W21" s="10" t="n">
        <f aca="false">P21+V21</f>
        <v>1803.24675176951</v>
      </c>
      <c r="X21" s="10" t="n">
        <f aca="false">s_T*p_fpm_reg*M21</f>
        <v>3.84844223830321</v>
      </c>
      <c r="Y21" s="10" t="n">
        <f aca="false">s_T*O21</f>
        <v>0</v>
      </c>
      <c r="Z21" s="10" t="n">
        <f aca="false">s_T*(p_fpm_reg/p_all)*V21</f>
        <v>0</v>
      </c>
      <c r="AA21" s="10" t="n">
        <f aca="false">s_T*(p_fpm_ext/p_all)*V21</f>
        <v>0</v>
      </c>
      <c r="AB21" s="10" t="n">
        <f aca="false">fundeb*(X21+Z21)</f>
        <v>0.769688447660642</v>
      </c>
      <c r="AC21" s="10" t="n">
        <f aca="false">X21+Y21-fundeb*X21</f>
        <v>3.07875379064257</v>
      </c>
      <c r="AD21" s="10" t="n">
        <f aca="false">Z21+AA21-fundeb*Z21</f>
        <v>0</v>
      </c>
      <c r="AE21" s="10" t="n">
        <f aca="false">AC21+AD21</f>
        <v>3.07875379064257</v>
      </c>
      <c r="AF21" s="10" t="n">
        <f aca="false">s_T*Q21*(p_fpm_reg/p_all*(1-fundeb)+p_fpm_ext/p_all)</f>
        <v>10.0697854570036</v>
      </c>
      <c r="AG21" s="10" t="n">
        <f aca="false">AE21-AF21</f>
        <v>-6.99103166636108</v>
      </c>
      <c r="AH21" s="10" t="n">
        <f aca="false">SUM($AG$20:AG21)</f>
        <v>-10.027032774295</v>
      </c>
      <c r="AI21" s="10" t="n">
        <f aca="false">share_ipiis*(orc_cota*INDEX(w_fpm,C21)*(1-fundeb)+IF(OR(C21=7,C21=9,C21=12),orc_extra/3,0))</f>
        <v>5.63680306521097</v>
      </c>
      <c r="AJ21" s="10" t="n">
        <f aca="false">AC21-AI21</f>
        <v>-2.55804927456841</v>
      </c>
      <c r="AK21" s="10" t="n">
        <f aca="false">SUM($AJ$20:AJ21)</f>
        <v>0.296663610337252</v>
      </c>
    </row>
    <row r="22" customFormat="false" ht="15" hidden="false" customHeight="false" outlineLevel="0" collapsed="false">
      <c r="A22" s="54" t="n">
        <v>46447</v>
      </c>
      <c r="B22" s="55" t="n">
        <f aca="false">YEAR(A22)</f>
        <v>2027</v>
      </c>
      <c r="C22" s="55" t="n">
        <f aca="false">MONTH(A22)</f>
        <v>3</v>
      </c>
      <c r="D22" s="55" t="n">
        <f aca="false">ROW()-7</f>
        <v>15</v>
      </c>
      <c r="E22" s="10" t="n">
        <f aca="false">ipi_tot_27/12*INDEX(seas_fg,C22)</f>
        <v>400.7136468813</v>
      </c>
      <c r="F22" s="10" t="n">
        <v>0</v>
      </c>
      <c r="G22" s="10" t="n">
        <f aca="false">IF(C22&lt;$C$3,0,is_tot_27/12*$C$5*MIN(1,(C22-$C$3+1)/$C$4))</f>
        <v>3499.69583333333</v>
      </c>
      <c r="H22" s="10" t="n">
        <f aca="false">INDEX($E$8:$E$31,MAX(1,D22-lag_rec))</f>
        <v>478.730720236605</v>
      </c>
      <c r="I22" s="10" t="n">
        <f aca="false">F22</f>
        <v>0</v>
      </c>
      <c r="J22" s="10" t="n">
        <f aca="false">INDEX($G$8:$G$31,MAX(1,D22-lag_rec))</f>
        <v>0</v>
      </c>
      <c r="K22" s="10" t="n">
        <f aca="false">sh_same*H22+(1-sh_same)*INDEX($H$8:$H$31,MAX(1,D22-1))+(1-frac_imp)*I22+frac_imp*INDEX($I$8:$I$31,MAX(1,D22-1))</f>
        <v>451.203474765239</v>
      </c>
      <c r="L22" s="10" t="n">
        <f aca="false">sh_same*J22+(1-sh_same)*INDEX($J$8:$J$31,MAX(1,D22-1))</f>
        <v>0</v>
      </c>
      <c r="M22" s="10" t="n">
        <f aca="false">K22+L22</f>
        <v>451.203474765239</v>
      </c>
      <c r="N22" s="10" t="n">
        <f aca="false">p_reg*M22</f>
        <v>257.185980616186</v>
      </c>
      <c r="O22" s="10" t="n">
        <f aca="false">IF(OR(C22=7,C22=9,C22=12),ext_each*SUM(H10:J21),0)</f>
        <v>0</v>
      </c>
      <c r="P22" s="10" t="n">
        <f aca="false">N22+O22</f>
        <v>257.185980616186</v>
      </c>
      <c r="Q22" s="10" t="n">
        <f aca="false">ref_anual*INDEX(IPCA!$D$18:$D$29,C22)/sum_idx27</f>
        <v>5340.23849868455</v>
      </c>
      <c r="R22" s="10" t="n">
        <f aca="false">Q22-P22</f>
        <v>5083.05251806836</v>
      </c>
      <c r="S22" s="10" t="n">
        <f aca="false">MIN(0,T21)</f>
        <v>0</v>
      </c>
      <c r="T22" s="10" t="n">
        <f aca="false">R22+S22</f>
        <v>5083.05251806836</v>
      </c>
      <c r="U22" s="10" t="n">
        <f aca="false">MAX(0,T22)</f>
        <v>5083.05251806836</v>
      </c>
      <c r="V22" s="10" t="n">
        <f aca="false">IF(cap_on=1,MIN(IF(D22-lag_comp&lt;13,0,INDEX($U$8:$U$31,D22-lag_comp)),MAX(0,comp_fundo-SUM($V$20:V21))),IF(D22-lag_comp&lt;13,0,INDEX($U$8:$U$31,D22-lag_comp)))</f>
        <v>1203.74396648176</v>
      </c>
      <c r="W22" s="10" t="n">
        <f aca="false">P22+V22</f>
        <v>1460.92994709795</v>
      </c>
      <c r="X22" s="10" t="n">
        <f aca="false">s_T*p_fpm_reg*M22</f>
        <v>0.548879619459464</v>
      </c>
      <c r="Y22" s="10" t="n">
        <f aca="false">s_T*O22</f>
        <v>0</v>
      </c>
      <c r="Z22" s="10" t="n">
        <f aca="false">s_T*(p_fpm_reg/p_all)*V22</f>
        <v>2.44054906193894</v>
      </c>
      <c r="AA22" s="10" t="n">
        <f aca="false">s_T*(p_fpm_ext/p_all)*V22</f>
        <v>0.325406541591859</v>
      </c>
      <c r="AB22" s="10" t="n">
        <f aca="false">fundeb*(X22+Z22)</f>
        <v>0.597885736279681</v>
      </c>
      <c r="AC22" s="10" t="n">
        <f aca="false">X22+Y22-fundeb*X22</f>
        <v>0.439103695567571</v>
      </c>
      <c r="AD22" s="10" t="n">
        <f aca="false">Z22+AA22-fundeb*Z22</f>
        <v>2.27784579114301</v>
      </c>
      <c r="AE22" s="10" t="n">
        <f aca="false">AC22+AD22</f>
        <v>2.71694948671059</v>
      </c>
      <c r="AF22" s="10" t="n">
        <f aca="false">s_T*Q22*(p_fpm_reg/p_all*(1-fundeb)+p_fpm_ext/p_all)</f>
        <v>10.1053381172754</v>
      </c>
      <c r="AG22" s="10" t="n">
        <f aca="false">AE22-AF22</f>
        <v>-7.38838863056484</v>
      </c>
      <c r="AH22" s="10" t="n">
        <f aca="false">SUM($AG$20:AG22)</f>
        <v>-17.4154214048598</v>
      </c>
      <c r="AI22" s="10" t="n">
        <f aca="false">share_ipiis*(orc_cota*INDEX(w_fpm,C22)*(1-fundeb)+IF(OR(C22=7,C22=9,C22=12),orc_extra/3,0))</f>
        <v>3.52212036761722</v>
      </c>
      <c r="AJ22" s="10" t="n">
        <f aca="false">AC22-AI22</f>
        <v>-3.08301667204965</v>
      </c>
      <c r="AK22" s="10" t="n">
        <f aca="false">SUM($AJ$20:AJ22)</f>
        <v>-2.7863530617124</v>
      </c>
    </row>
    <row r="23" customFormat="false" ht="15" hidden="false" customHeight="false" outlineLevel="0" collapsed="false">
      <c r="A23" s="54" t="n">
        <v>46478</v>
      </c>
      <c r="B23" s="55" t="n">
        <f aca="false">YEAR(A23)</f>
        <v>2027</v>
      </c>
      <c r="C23" s="55" t="n">
        <f aca="false">MONTH(A23)</f>
        <v>4</v>
      </c>
      <c r="D23" s="55" t="n">
        <f aca="false">ROW()-7</f>
        <v>16</v>
      </c>
      <c r="E23" s="10" t="n">
        <f aca="false">ipi_tot_27/12*INDEX(seas_fg,C23)</f>
        <v>421.420468464739</v>
      </c>
      <c r="F23" s="10" t="n">
        <v>0</v>
      </c>
      <c r="G23" s="10" t="n">
        <f aca="false">IF(C23&lt;$C$3,0,is_tot_27/12*$C$5*MIN(1,(C23-$C$3+1)/$C$4))</f>
        <v>3499.69583333333</v>
      </c>
      <c r="H23" s="10" t="n">
        <f aca="false">INDEX($E$8:$E$31,MAX(1,D23-lag_rec))</f>
        <v>400.7136468813</v>
      </c>
      <c r="I23" s="10" t="n">
        <f aca="false">F23</f>
        <v>0</v>
      </c>
      <c r="J23" s="10" t="n">
        <f aca="false">INDEX($G$8:$G$31,MAX(1,D23-lag_rec))</f>
        <v>3499.69583333333</v>
      </c>
      <c r="K23" s="10" t="n">
        <f aca="false">sh_same*H23+(1-sh_same)*INDEX($H$8:$H$31,MAX(1,D23-1))+(1-frac_imp)*I23+frac_imp*INDEX($I$8:$I$31,MAX(1,D23-1))</f>
        <v>445.963549427377</v>
      </c>
      <c r="L23" s="10" t="n">
        <f aca="false">sh_same*J23+(1-sh_same)*INDEX($J$8:$J$31,MAX(1,D23-1))</f>
        <v>1469.87225</v>
      </c>
      <c r="M23" s="10" t="n">
        <f aca="false">K23+L23</f>
        <v>1915.83579942738</v>
      </c>
      <c r="N23" s="10" t="n">
        <f aca="false">p_reg*M23</f>
        <v>1092.0264056736</v>
      </c>
      <c r="O23" s="10" t="n">
        <f aca="false">IF(OR(C23=7,C23=9,C23=12),ext_each*SUM(H11:J22),0)</f>
        <v>0</v>
      </c>
      <c r="P23" s="10" t="n">
        <f aca="false">N23+O23</f>
        <v>1092.0264056736</v>
      </c>
      <c r="Q23" s="10" t="n">
        <f aca="false">ref_anual*INDEX(IPCA!$D$18:$D$29,C23)/sum_idx27</f>
        <v>5359.09289095782</v>
      </c>
      <c r="R23" s="10" t="n">
        <f aca="false">Q23-P23</f>
        <v>4267.06648528421</v>
      </c>
      <c r="S23" s="10" t="n">
        <f aca="false">MIN(0,T22)</f>
        <v>0</v>
      </c>
      <c r="T23" s="10" t="n">
        <f aca="false">R23+S23</f>
        <v>4267.06648528421</v>
      </c>
      <c r="U23" s="10" t="n">
        <f aca="false">MAX(0,T23)</f>
        <v>4267.06648528421</v>
      </c>
      <c r="V23" s="10" t="n">
        <f aca="false">IF(cap_on=1,MIN(IF(D23-lag_comp&lt;13,0,INDEX($U$8:$U$31,D23-lag_comp)),MAX(0,comp_fundo-SUM($V$20:V22))),IF(D23-lag_comp&lt;13,0,INDEX($U$8:$U$31,D23-lag_comp)))</f>
        <v>3518.20368827607</v>
      </c>
      <c r="W23" s="10" t="n">
        <f aca="false">P23+V23</f>
        <v>4610.23009394968</v>
      </c>
      <c r="X23" s="10" t="n">
        <f aca="false">s_T*p_fpm_reg*M23</f>
        <v>2.33057430482699</v>
      </c>
      <c r="Y23" s="10" t="n">
        <f aca="false">s_T*O23</f>
        <v>0</v>
      </c>
      <c r="Z23" s="10" t="n">
        <f aca="false">s_T*(p_fpm_reg/p_all)*V23</f>
        <v>7.13303572040157</v>
      </c>
      <c r="AA23" s="10" t="n">
        <f aca="false">s_T*(p_fpm_ext/p_all)*V23</f>
        <v>0.951071429386876</v>
      </c>
      <c r="AB23" s="10" t="n">
        <f aca="false">fundeb*(X23+Z23)</f>
        <v>1.89272200504571</v>
      </c>
      <c r="AC23" s="10" t="n">
        <f aca="false">X23+Y23-fundeb*X23</f>
        <v>1.86445944386159</v>
      </c>
      <c r="AD23" s="10" t="n">
        <f aca="false">Z23+AA23-fundeb*Z23</f>
        <v>6.65750000570813</v>
      </c>
      <c r="AE23" s="10" t="n">
        <f aca="false">AC23+AD23</f>
        <v>8.52195944956972</v>
      </c>
      <c r="AF23" s="10" t="n">
        <f aca="false">s_T*Q23*(p_fpm_reg/p_all*(1-fundeb)+p_fpm_ext/p_all)</f>
        <v>10.1410163007431</v>
      </c>
      <c r="AG23" s="10" t="n">
        <f aca="false">AE23-AF23</f>
        <v>-1.61905685117336</v>
      </c>
      <c r="AH23" s="10" t="n">
        <f aca="false">SUM($AG$20:AG23)</f>
        <v>-19.0344782560332</v>
      </c>
      <c r="AI23" s="10" t="n">
        <f aca="false">share_ipiis*(orc_cota*INDEX(w_fpm,C23)*(1-fundeb)+IF(OR(C23=7,C23=9,C23=12),orc_extra/3,0))</f>
        <v>3.86288698873413</v>
      </c>
      <c r="AJ23" s="10" t="n">
        <f aca="false">AC23-AI23</f>
        <v>-1.99842754487254</v>
      </c>
      <c r="AK23" s="10" t="n">
        <f aca="false">SUM($AJ$20:AJ23)</f>
        <v>-4.78478060658494</v>
      </c>
    </row>
    <row r="24" customFormat="false" ht="15" hidden="false" customHeight="false" outlineLevel="0" collapsed="false">
      <c r="A24" s="54" t="n">
        <v>46508</v>
      </c>
      <c r="B24" s="55" t="n">
        <f aca="false">YEAR(A24)</f>
        <v>2027</v>
      </c>
      <c r="C24" s="55" t="n">
        <f aca="false">MONTH(A24)</f>
        <v>5</v>
      </c>
      <c r="D24" s="55" t="n">
        <f aca="false">ROW()-7</f>
        <v>17</v>
      </c>
      <c r="E24" s="10" t="n">
        <f aca="false">ipi_tot_27/12*INDEX(seas_fg,C24)</f>
        <v>464.620762166473</v>
      </c>
      <c r="F24" s="10" t="n">
        <v>0</v>
      </c>
      <c r="G24" s="10" t="n">
        <f aca="false">IF(C24&lt;$C$3,0,is_tot_27/12*$C$5*MIN(1,(C24-$C$3+1)/$C$4))</f>
        <v>3499.69583333333</v>
      </c>
      <c r="H24" s="10" t="n">
        <f aca="false">INDEX($E$8:$E$31,MAX(1,D24-lag_rec))</f>
        <v>421.420468464739</v>
      </c>
      <c r="I24" s="10" t="n">
        <f aca="false">F24</f>
        <v>0</v>
      </c>
      <c r="J24" s="10" t="n">
        <f aca="false">INDEX($G$8:$G$31,MAX(1,D24-lag_rec))</f>
        <v>3499.69583333333</v>
      </c>
      <c r="K24" s="10" t="n">
        <f aca="false">sh_same*H24+(1-sh_same)*INDEX($H$8:$H$31,MAX(1,D24-1))+(1-frac_imp)*I24+frac_imp*INDEX($I$8:$I$31,MAX(1,D24-1))</f>
        <v>409.410511946344</v>
      </c>
      <c r="L24" s="10" t="n">
        <f aca="false">sh_same*J24+(1-sh_same)*INDEX($J$8:$J$31,MAX(1,D24-1))</f>
        <v>3499.69583333333</v>
      </c>
      <c r="M24" s="10" t="n">
        <f aca="false">K24+L24</f>
        <v>3909.10634527968</v>
      </c>
      <c r="N24" s="10" t="n">
        <f aca="false">p_reg*M24</f>
        <v>2228.19061680942</v>
      </c>
      <c r="O24" s="10" t="n">
        <f aca="false">IF(OR(C24=7,C24=9,C24=12),ext_each*SUM(H12:J23),0)</f>
        <v>0</v>
      </c>
      <c r="P24" s="10" t="n">
        <f aca="false">N24+O24</f>
        <v>2228.19061680942</v>
      </c>
      <c r="Q24" s="10" t="n">
        <f aca="false">ref_anual*INDEX(IPCA!$D$18:$D$29,C24)/sum_idx27</f>
        <v>5378.01385106473</v>
      </c>
      <c r="R24" s="10" t="n">
        <f aca="false">Q24-P24</f>
        <v>3149.82323425531</v>
      </c>
      <c r="S24" s="10" t="n">
        <f aca="false">MIN(0,T23)</f>
        <v>0</v>
      </c>
      <c r="T24" s="10" t="n">
        <f aca="false">R24+S24</f>
        <v>3149.82323425531</v>
      </c>
      <c r="U24" s="10" t="n">
        <f aca="false">MAX(0,T24)</f>
        <v>3149.82323425531</v>
      </c>
      <c r="V24" s="10" t="n">
        <f aca="false">IF(cap_on=1,MIN(IF(D24-lag_comp&lt;13,0,INDEX($U$8:$U$31,D24-lag_comp)),MAX(0,comp_fundo-SUM($V$20:V23))),IF(D24-lag_comp&lt;13,0,INDEX($U$8:$U$31,D24-lag_comp)))</f>
        <v>5083.05251806836</v>
      </c>
      <c r="W24" s="10" t="n">
        <f aca="false">P24+V24</f>
        <v>7311.24313487778</v>
      </c>
      <c r="X24" s="10" t="n">
        <f aca="false">s_T*p_fpm_reg*M24</f>
        <v>4.75534636416543</v>
      </c>
      <c r="Y24" s="10" t="n">
        <f aca="false">s_T*O24</f>
        <v>0</v>
      </c>
      <c r="Z24" s="10" t="n">
        <f aca="false">s_T*(p_fpm_reg/p_all)*V24</f>
        <v>10.3057123443086</v>
      </c>
      <c r="AA24" s="10" t="n">
        <f aca="false">s_T*(p_fpm_ext/p_all)*V24</f>
        <v>1.37409497924115</v>
      </c>
      <c r="AB24" s="10" t="n">
        <f aca="false">fundeb*(X24+Z24)</f>
        <v>3.01221174169481</v>
      </c>
      <c r="AC24" s="10" t="n">
        <f aca="false">X24+Y24-fundeb*X24</f>
        <v>3.80427709133234</v>
      </c>
      <c r="AD24" s="10" t="n">
        <f aca="false">Z24+AA24-fundeb*Z24</f>
        <v>9.61866485468803</v>
      </c>
      <c r="AE24" s="10" t="n">
        <f aca="false">AC24+AD24</f>
        <v>13.4229419460204</v>
      </c>
      <c r="AF24" s="10" t="n">
        <f aca="false">s_T*Q24*(p_fpm_reg/p_all*(1-fundeb)+p_fpm_ext/p_all)</f>
        <v>10.1768204505823</v>
      </c>
      <c r="AG24" s="10" t="n">
        <f aca="false">AE24-AF24</f>
        <v>3.24612149543812</v>
      </c>
      <c r="AH24" s="10" t="n">
        <f aca="false">SUM($AG$20:AG24)</f>
        <v>-15.7883567605951</v>
      </c>
      <c r="AI24" s="10" t="n">
        <f aca="false">share_ipiis*(orc_cota*INDEX(w_fpm,C24)*(1-fundeb)+IF(OR(C24=7,C24=9,C24=12),orc_extra/3,0))</f>
        <v>4.49503124163144</v>
      </c>
      <c r="AJ24" s="10" t="n">
        <f aca="false">AC24-AI24</f>
        <v>-0.690754150299094</v>
      </c>
      <c r="AK24" s="10" t="n">
        <f aca="false">SUM($AJ$20:AJ24)</f>
        <v>-5.47553475688404</v>
      </c>
    </row>
    <row r="25" customFormat="false" ht="15" hidden="false" customHeight="false" outlineLevel="0" collapsed="false">
      <c r="A25" s="54" t="n">
        <v>46539</v>
      </c>
      <c r="B25" s="55" t="n">
        <f aca="false">YEAR(A25)</f>
        <v>2027</v>
      </c>
      <c r="C25" s="55" t="n">
        <f aca="false">MONTH(A25)</f>
        <v>6</v>
      </c>
      <c r="D25" s="55" t="n">
        <f aca="false">ROW()-7</f>
        <v>18</v>
      </c>
      <c r="E25" s="10" t="n">
        <f aca="false">ipi_tot_27/12*INDEX(seas_fg,C25)</f>
        <v>459.58149142714</v>
      </c>
      <c r="F25" s="10" t="n">
        <v>0</v>
      </c>
      <c r="G25" s="10" t="n">
        <f aca="false">IF(C25&lt;$C$3,0,is_tot_27/12*$C$5*MIN(1,(C25-$C$3+1)/$C$4))</f>
        <v>3499.69583333333</v>
      </c>
      <c r="H25" s="10" t="n">
        <f aca="false">INDEX($E$8:$E$31,MAX(1,D25-lag_rec))</f>
        <v>464.620762166473</v>
      </c>
      <c r="I25" s="10" t="n">
        <f aca="false">F25</f>
        <v>0</v>
      </c>
      <c r="J25" s="10" t="n">
        <f aca="false">INDEX($G$8:$G$31,MAX(1,D25-lag_rec))</f>
        <v>3499.69583333333</v>
      </c>
      <c r="K25" s="10" t="n">
        <f aca="false">sh_same*H25+(1-sh_same)*INDEX($H$8:$H$31,MAX(1,D25-1))+(1-frac_imp)*I25+frac_imp*INDEX($I$8:$I$31,MAX(1,D25-1))</f>
        <v>439.564591819467</v>
      </c>
      <c r="L25" s="10" t="n">
        <f aca="false">sh_same*J25+(1-sh_same)*INDEX($J$8:$J$31,MAX(1,D25-1))</f>
        <v>3499.69583333333</v>
      </c>
      <c r="M25" s="10" t="n">
        <f aca="false">K25+L25</f>
        <v>3939.2604251528</v>
      </c>
      <c r="N25" s="10" t="n">
        <f aca="false">p_reg*M25</f>
        <v>2245.3784423371</v>
      </c>
      <c r="O25" s="10" t="n">
        <f aca="false">IF(OR(C25=7,C25=9,C25=12),ext_each*SUM(H13:J24),0)</f>
        <v>0</v>
      </c>
      <c r="P25" s="10" t="n">
        <f aca="false">N25+O25</f>
        <v>2245.3784423371</v>
      </c>
      <c r="Q25" s="10" t="n">
        <f aca="false">ref_anual*INDEX(IPCA!$D$18:$D$29,C25)/sum_idx27</f>
        <v>5397.0016140315</v>
      </c>
      <c r="R25" s="10" t="n">
        <f aca="false">Q25-P25</f>
        <v>3151.6231716944</v>
      </c>
      <c r="S25" s="10" t="n">
        <f aca="false">MIN(0,T24)</f>
        <v>0</v>
      </c>
      <c r="T25" s="10" t="n">
        <f aca="false">R25+S25</f>
        <v>3151.6231716944</v>
      </c>
      <c r="U25" s="10" t="n">
        <f aca="false">MAX(0,T25)</f>
        <v>3151.6231716944</v>
      </c>
      <c r="V25" s="10" t="n">
        <f aca="false">IF(cap_on=1,MIN(IF(D25-lag_comp&lt;13,0,INDEX($U$8:$U$31,D25-lag_comp)),MAX(0,comp_fundo-SUM($V$20:V24))),IF(D25-lag_comp&lt;13,0,INDEX($U$8:$U$31,D25-lag_comp)))</f>
        <v>4267.06648528421</v>
      </c>
      <c r="W25" s="10" t="n">
        <f aca="false">P25+V25</f>
        <v>6512.44492762131</v>
      </c>
      <c r="X25" s="10" t="n">
        <f aca="false">s_T*p_fpm_reg*M25</f>
        <v>4.79202817361852</v>
      </c>
      <c r="Y25" s="10" t="n">
        <f aca="false">s_T*O25</f>
        <v>0</v>
      </c>
      <c r="Z25" s="10" t="n">
        <f aca="false">s_T*(p_fpm_reg/p_all)*V25</f>
        <v>8.65132901835338</v>
      </c>
      <c r="AA25" s="10" t="n">
        <f aca="false">s_T*(p_fpm_ext/p_all)*V25</f>
        <v>1.15351053578045</v>
      </c>
      <c r="AB25" s="10" t="n">
        <f aca="false">fundeb*(X25+Z25)</f>
        <v>2.68867143839438</v>
      </c>
      <c r="AC25" s="10" t="n">
        <f aca="false">X25+Y25-fundeb*X25</f>
        <v>3.83362253889481</v>
      </c>
      <c r="AD25" s="10" t="n">
        <f aca="false">Z25+AA25-fundeb*Z25</f>
        <v>8.07457375046315</v>
      </c>
      <c r="AE25" s="10" t="n">
        <f aca="false">AC25+AD25</f>
        <v>11.908196289358</v>
      </c>
      <c r="AF25" s="10" t="n">
        <f aca="false">s_T*Q25*(p_fpm_reg/p_all*(1-fundeb)+p_fpm_ext/p_all)</f>
        <v>10.2127510115333</v>
      </c>
      <c r="AG25" s="10" t="n">
        <f aca="false">AE25-AF25</f>
        <v>1.69544527782471</v>
      </c>
      <c r="AH25" s="10" t="n">
        <f aca="false">SUM($AG$20:AG25)</f>
        <v>-14.0929114827703</v>
      </c>
      <c r="AI25" s="10" t="n">
        <f aca="false">share_ipiis*(orc_cota*INDEX(w_fpm,C25)*(1-fundeb)+IF(OR(C25=7,C25=9,C25=12),orc_extra/3,0))</f>
        <v>4.46095614118843</v>
      </c>
      <c r="AJ25" s="10" t="n">
        <f aca="false">AC25-AI25</f>
        <v>-0.627333602293612</v>
      </c>
      <c r="AK25" s="10" t="n">
        <f aca="false">SUM($AJ$20:AJ25)</f>
        <v>-6.10286835917765</v>
      </c>
    </row>
    <row r="26" customFormat="false" ht="15" hidden="false" customHeight="false" outlineLevel="0" collapsed="false">
      <c r="A26" s="54" t="n">
        <v>46569</v>
      </c>
      <c r="B26" s="55" t="n">
        <f aca="false">YEAR(A26)</f>
        <v>2027</v>
      </c>
      <c r="C26" s="55" t="n">
        <f aca="false">MONTH(A26)</f>
        <v>7</v>
      </c>
      <c r="D26" s="55" t="n">
        <f aca="false">ROW()-7</f>
        <v>19</v>
      </c>
      <c r="E26" s="10" t="n">
        <f aca="false">ipi_tot_27/12*INDEX(seas_fg,C26)</f>
        <v>442.218913152531</v>
      </c>
      <c r="F26" s="10" t="n">
        <v>0</v>
      </c>
      <c r="G26" s="10" t="n">
        <f aca="false">IF(C26&lt;$C$3,0,is_tot_27/12*$C$5*MIN(1,(C26-$C$3+1)/$C$4))</f>
        <v>3499.69583333333</v>
      </c>
      <c r="H26" s="10" t="n">
        <f aca="false">INDEX($E$8:$E$31,MAX(1,D26-lag_rec))</f>
        <v>459.58149142714</v>
      </c>
      <c r="I26" s="10" t="n">
        <f aca="false">F26</f>
        <v>0</v>
      </c>
      <c r="J26" s="10" t="n">
        <f aca="false">INDEX($G$8:$G$31,MAX(1,D26-lag_rec))</f>
        <v>3499.69583333333</v>
      </c>
      <c r="K26" s="10" t="n">
        <f aca="false">sh_same*H26+(1-sh_same)*INDEX($H$8:$H$31,MAX(1,D26-1))+(1-frac_imp)*I26+frac_imp*INDEX($I$8:$I$31,MAX(1,D26-1))</f>
        <v>462.504268455953</v>
      </c>
      <c r="L26" s="10" t="n">
        <f aca="false">sh_same*J26+(1-sh_same)*INDEX($J$8:$J$31,MAX(1,D26-1))</f>
        <v>3499.69583333333</v>
      </c>
      <c r="M26" s="10" t="n">
        <f aca="false">K26+L26</f>
        <v>3962.20010178929</v>
      </c>
      <c r="N26" s="10" t="n">
        <f aca="false">p_reg*M26</f>
        <v>2258.45405801989</v>
      </c>
      <c r="O26" s="10" t="n">
        <f aca="false">IF(OR(C26=7,C26=9,C26=12),ext_each*SUM(H14:J25),0)</f>
        <v>698.130697740992</v>
      </c>
      <c r="P26" s="10" t="n">
        <f aca="false">N26+O26</f>
        <v>2956.58475576089</v>
      </c>
      <c r="Q26" s="10" t="n">
        <f aca="false">ref_anual*INDEX(IPCA!$D$18:$D$29,C26)/sum_idx27</f>
        <v>5416.05641571413</v>
      </c>
      <c r="R26" s="10" t="n">
        <f aca="false">Q26-P26</f>
        <v>2459.47165995325</v>
      </c>
      <c r="S26" s="10" t="n">
        <f aca="false">MIN(0,T25)</f>
        <v>0</v>
      </c>
      <c r="T26" s="10" t="n">
        <f aca="false">R26+S26</f>
        <v>2459.47165995325</v>
      </c>
      <c r="U26" s="10" t="n">
        <f aca="false">MAX(0,T26)</f>
        <v>2459.47165995325</v>
      </c>
      <c r="V26" s="10" t="n">
        <f aca="false">IF(cap_on=1,MIN(IF(D26-lag_comp&lt;13,0,INDEX($U$8:$U$31,D26-lag_comp)),MAX(0,comp_fundo-SUM($V$20:V25))),IF(D26-lag_comp&lt;13,0,INDEX($U$8:$U$31,D26-lag_comp)))</f>
        <v>3149.82323425531</v>
      </c>
      <c r="W26" s="10" t="n">
        <f aca="false">P26+V26</f>
        <v>6106.40799001619</v>
      </c>
      <c r="X26" s="10" t="n">
        <f aca="false">s_T*p_fpm_reg*M26</f>
        <v>4.81993381195455</v>
      </c>
      <c r="Y26" s="10" t="n">
        <f aca="false">s_T*O26</f>
        <v>3.77449527900831</v>
      </c>
      <c r="Z26" s="10" t="n">
        <f aca="false">s_T*(p_fpm_reg/p_all)*V26</f>
        <v>6.38615715109525</v>
      </c>
      <c r="AA26" s="10" t="n">
        <f aca="false">s_T*(p_fpm_ext/p_all)*V26</f>
        <v>0.851487620146033</v>
      </c>
      <c r="AB26" s="10" t="n">
        <f aca="false">fundeb*(X26+Z26)</f>
        <v>2.24121819260996</v>
      </c>
      <c r="AC26" s="10" t="n">
        <f aca="false">X26+Y26-fundeb*X26</f>
        <v>7.63044232857194</v>
      </c>
      <c r="AD26" s="10" t="n">
        <f aca="false">Z26+AA26-fundeb*Z26</f>
        <v>5.96041334102223</v>
      </c>
      <c r="AE26" s="10" t="n">
        <f aca="false">AC26+AD26</f>
        <v>13.5908556695942</v>
      </c>
      <c r="AF26" s="10" t="n">
        <f aca="false">s_T*Q26*(p_fpm_reg/p_all*(1-fundeb)+p_fpm_ext/p_all)</f>
        <v>10.2488084299066</v>
      </c>
      <c r="AG26" s="10" t="n">
        <f aca="false">AE26-AF26</f>
        <v>3.34204723968755</v>
      </c>
      <c r="AH26" s="10" t="n">
        <f aca="false">SUM($AG$20:AG26)</f>
        <v>-10.7508642430828</v>
      </c>
      <c r="AI26" s="10" t="n">
        <f aca="false">share_ipiis*(orc_cota*INDEX(w_fpm,C26)*(1-fundeb)+IF(OR(C26=7,C26=9,C26=12),orc_extra/3,0))</f>
        <v>5.83963396547176</v>
      </c>
      <c r="AJ26" s="10" t="n">
        <f aca="false">AC26-AI26</f>
        <v>1.79080836310018</v>
      </c>
      <c r="AK26" s="10" t="n">
        <f aca="false">SUM($AJ$20:AJ26)</f>
        <v>-4.31205999607746</v>
      </c>
    </row>
    <row r="27" customFormat="false" ht="15" hidden="false" customHeight="false" outlineLevel="0" collapsed="false">
      <c r="A27" s="54" t="n">
        <v>46600</v>
      </c>
      <c r="B27" s="55" t="n">
        <f aca="false">YEAR(A27)</f>
        <v>2027</v>
      </c>
      <c r="C27" s="55" t="n">
        <f aca="false">MONTH(A27)</f>
        <v>8</v>
      </c>
      <c r="D27" s="55" t="n">
        <f aca="false">ROW()-7</f>
        <v>20</v>
      </c>
      <c r="E27" s="10" t="n">
        <f aca="false">ipi_tot_27/12*INDEX(seas_fg,C27)</f>
        <v>530.222904882149</v>
      </c>
      <c r="F27" s="10" t="n">
        <v>0</v>
      </c>
      <c r="G27" s="10" t="n">
        <f aca="false">IF(C27&lt;$C$3,0,is_tot_27/12*$C$5*MIN(1,(C27-$C$3+1)/$C$4))</f>
        <v>3499.69583333333</v>
      </c>
      <c r="H27" s="10" t="n">
        <f aca="false">INDEX($E$8:$E$31,MAX(1,D27-lag_rec))</f>
        <v>442.218913152531</v>
      </c>
      <c r="I27" s="10" t="n">
        <f aca="false">F27</f>
        <v>0</v>
      </c>
      <c r="J27" s="10" t="n">
        <f aca="false">INDEX($G$8:$G$31,MAX(1,D27-lag_rec))</f>
        <v>3499.69583333333</v>
      </c>
      <c r="K27" s="10" t="n">
        <f aca="false">sh_same*H27+(1-sh_same)*INDEX($H$8:$H$31,MAX(1,D27-1))+(1-frac_imp)*I27+frac_imp*INDEX($I$8:$I$31,MAX(1,D27-1))</f>
        <v>452.289208551804</v>
      </c>
      <c r="L27" s="10" t="n">
        <f aca="false">sh_same*J27+(1-sh_same)*INDEX($J$8:$J$31,MAX(1,D27-1))</f>
        <v>3499.69583333333</v>
      </c>
      <c r="M27" s="10" t="n">
        <f aca="false">K27+L27</f>
        <v>3951.98504188514</v>
      </c>
      <c r="N27" s="10" t="n">
        <f aca="false">p_reg*M27</f>
        <v>2252.63147387453</v>
      </c>
      <c r="O27" s="10" t="n">
        <f aca="false">IF(OR(C27=7,C27=9,C27=12),ext_each*SUM(H15:J26),0)</f>
        <v>0</v>
      </c>
      <c r="P27" s="10" t="n">
        <f aca="false">N27+O27</f>
        <v>2252.63147387453</v>
      </c>
      <c r="Q27" s="10" t="n">
        <f aca="false">ref_anual*INDEX(IPCA!$D$18:$D$29,C27)/sum_idx27</f>
        <v>5435.17849280136</v>
      </c>
      <c r="R27" s="10" t="n">
        <f aca="false">Q27-P27</f>
        <v>3182.54701892683</v>
      </c>
      <c r="S27" s="10" t="n">
        <f aca="false">MIN(0,T26)</f>
        <v>0</v>
      </c>
      <c r="T27" s="10" t="n">
        <f aca="false">R27+S27</f>
        <v>3182.54701892683</v>
      </c>
      <c r="U27" s="10" t="n">
        <f aca="false">MAX(0,T27)</f>
        <v>3182.54701892683</v>
      </c>
      <c r="V27" s="10" t="n">
        <f aca="false">IF(cap_on=1,MIN(IF(D27-lag_comp&lt;13,0,INDEX($U$8:$U$31,D27-lag_comp)),MAX(0,comp_fundo-SUM($V$20:V26))),IF(D27-lag_comp&lt;13,0,INDEX($U$8:$U$31,D27-lag_comp)))</f>
        <v>3151.6231716944</v>
      </c>
      <c r="W27" s="10" t="n">
        <f aca="false">P27+V27</f>
        <v>5404.25464556893</v>
      </c>
      <c r="X27" s="10" t="n">
        <f aca="false">s_T*p_fpm_reg*M27</f>
        <v>4.80750740456515</v>
      </c>
      <c r="Y27" s="10" t="n">
        <f aca="false">s_T*O27</f>
        <v>0</v>
      </c>
      <c r="Z27" s="10" t="n">
        <f aca="false">s_T*(p_fpm_reg/p_all)*V27</f>
        <v>6.38980646170518</v>
      </c>
      <c r="AA27" s="10" t="n">
        <f aca="false">s_T*(p_fpm_ext/p_all)*V27</f>
        <v>0.851974194894024</v>
      </c>
      <c r="AB27" s="10" t="n">
        <f aca="false">fundeb*(X27+Z27)</f>
        <v>2.23946277325407</v>
      </c>
      <c r="AC27" s="10" t="n">
        <f aca="false">X27+Y27-fundeb*X27</f>
        <v>3.84600592365212</v>
      </c>
      <c r="AD27" s="10" t="n">
        <f aca="false">Z27+AA27-fundeb*Z27</f>
        <v>5.96381936425817</v>
      </c>
      <c r="AE27" s="10" t="n">
        <f aca="false">AC27+AD27</f>
        <v>9.80982528791029</v>
      </c>
      <c r="AF27" s="10" t="n">
        <f aca="false">s_T*Q27*(p_fpm_reg/p_all*(1-fundeb)+p_fpm_ext/p_all)</f>
        <v>10.2849931535887</v>
      </c>
      <c r="AG27" s="10" t="n">
        <f aca="false">AE27-AF27</f>
        <v>-0.475167865678371</v>
      </c>
      <c r="AH27" s="10" t="n">
        <f aca="false">SUM($AG$20:AG27)</f>
        <v>-11.2260321087612</v>
      </c>
      <c r="AI27" s="10" t="n">
        <f aca="false">share_ipiis*(orc_cota*INDEX(w_fpm,C27)*(1-fundeb)+IF(OR(C27=7,C27=9,C27=12),orc_extra/3,0))</f>
        <v>3.88648969940325</v>
      </c>
      <c r="AJ27" s="10" t="n">
        <f aca="false">AC27-AI27</f>
        <v>-0.0404837757511323</v>
      </c>
      <c r="AK27" s="10" t="n">
        <f aca="false">SUM($AJ$20:AJ27)</f>
        <v>-4.3525437718286</v>
      </c>
    </row>
    <row r="28" customFormat="false" ht="15" hidden="false" customHeight="false" outlineLevel="0" collapsed="false">
      <c r="A28" s="54" t="n">
        <v>46631</v>
      </c>
      <c r="B28" s="55" t="n">
        <f aca="false">YEAR(A28)</f>
        <v>2027</v>
      </c>
      <c r="C28" s="55" t="n">
        <f aca="false">MONTH(A28)</f>
        <v>9</v>
      </c>
      <c r="D28" s="55" t="n">
        <f aca="false">ROW()-7</f>
        <v>21</v>
      </c>
      <c r="E28" s="10" t="n">
        <f aca="false">ipi_tot_27/12*INDEX(seas_fg,C28)</f>
        <v>471.12600257543</v>
      </c>
      <c r="F28" s="10" t="n">
        <v>0</v>
      </c>
      <c r="G28" s="10" t="n">
        <f aca="false">IF(C28&lt;$C$3,0,is_tot_27/12*$C$5*MIN(1,(C28-$C$3+1)/$C$4))</f>
        <v>3499.69583333333</v>
      </c>
      <c r="H28" s="10" t="n">
        <f aca="false">INDEX($E$8:$E$31,MAX(1,D28-lag_rec))</f>
        <v>530.222904882149</v>
      </c>
      <c r="I28" s="10" t="n">
        <f aca="false">F28</f>
        <v>0</v>
      </c>
      <c r="J28" s="10" t="n">
        <f aca="false">INDEX($G$8:$G$31,MAX(1,D28-lag_rec))</f>
        <v>3499.69583333333</v>
      </c>
      <c r="K28" s="10" t="n">
        <f aca="false">sh_same*H28+(1-sh_same)*INDEX($H$8:$H$31,MAX(1,D28-1))+(1-frac_imp)*I28+frac_imp*INDEX($I$8:$I$31,MAX(1,D28-1))</f>
        <v>479.180589678971</v>
      </c>
      <c r="L28" s="10" t="n">
        <f aca="false">sh_same*J28+(1-sh_same)*INDEX($J$8:$J$31,MAX(1,D28-1))</f>
        <v>3499.69583333333</v>
      </c>
      <c r="M28" s="10" t="n">
        <f aca="false">K28+L28</f>
        <v>3978.8764230123</v>
      </c>
      <c r="N28" s="10" t="n">
        <f aca="false">p_reg*M28</f>
        <v>2267.95956111701</v>
      </c>
      <c r="O28" s="10" t="n">
        <f aca="false">IF(OR(C28=7,C28=9,C28=12),ext_each*SUM(H16:J27),0)</f>
        <v>608.69853172522</v>
      </c>
      <c r="P28" s="10" t="n">
        <f aca="false">N28+O28</f>
        <v>2876.65809284223</v>
      </c>
      <c r="Q28" s="10" t="n">
        <f aca="false">ref_anual*INDEX(IPCA!$D$18:$D$29,C28)/sum_idx27</f>
        <v>5454.36808281756</v>
      </c>
      <c r="R28" s="10" t="n">
        <f aca="false">Q28-P28</f>
        <v>2577.70998997533</v>
      </c>
      <c r="S28" s="10" t="n">
        <f aca="false">MIN(0,T27)</f>
        <v>0</v>
      </c>
      <c r="T28" s="10" t="n">
        <f aca="false">R28+S28</f>
        <v>2577.70998997533</v>
      </c>
      <c r="U28" s="10" t="n">
        <f aca="false">MAX(0,T28)</f>
        <v>2577.70998997533</v>
      </c>
      <c r="V28" s="10" t="n">
        <f aca="false">IF(cap_on=1,MIN(IF(D28-lag_comp&lt;13,0,INDEX($U$8:$U$31,D28-lag_comp)),MAX(0,comp_fundo-SUM($V$20:V27))),IF(D28-lag_comp&lt;13,0,INDEX($U$8:$U$31,D28-lag_comp)))</f>
        <v>2459.47165995325</v>
      </c>
      <c r="W28" s="10" t="n">
        <f aca="false">P28+V28</f>
        <v>5336.12975279548</v>
      </c>
      <c r="X28" s="10" t="n">
        <f aca="false">s_T*p_fpm_reg*M28</f>
        <v>4.84022020902105</v>
      </c>
      <c r="Y28" s="10" t="n">
        <f aca="false">s_T*O28</f>
        <v>3.29097365546375</v>
      </c>
      <c r="Z28" s="10" t="n">
        <f aca="false">s_T*(p_fpm_reg/p_all)*V28</f>
        <v>4.98649332391503</v>
      </c>
      <c r="AA28" s="10" t="n">
        <f aca="false">s_T*(p_fpm_ext/p_all)*V28</f>
        <v>0.664865776522004</v>
      </c>
      <c r="AB28" s="10" t="n">
        <f aca="false">fundeb*(X28+Z28)</f>
        <v>1.96534270658722</v>
      </c>
      <c r="AC28" s="10" t="n">
        <f aca="false">X28+Y28-fundeb*X28</f>
        <v>7.16314982268059</v>
      </c>
      <c r="AD28" s="10" t="n">
        <f aca="false">Z28+AA28-fundeb*Z28</f>
        <v>4.65406043565403</v>
      </c>
      <c r="AE28" s="10" t="n">
        <f aca="false">AC28+AD28</f>
        <v>11.8172102583346</v>
      </c>
      <c r="AF28" s="10" t="n">
        <f aca="false">s_T*Q28*(p_fpm_reg/p_all*(1-fundeb)+p_fpm_ext/p_all)</f>
        <v>10.321305632047</v>
      </c>
      <c r="AG28" s="10" t="n">
        <f aca="false">AE28-AF28</f>
        <v>1.49590462628766</v>
      </c>
      <c r="AH28" s="10" t="n">
        <f aca="false">SUM($AG$20:AG28)</f>
        <v>-9.73012748247351</v>
      </c>
      <c r="AI28" s="10" t="n">
        <f aca="false">share_ipiis*(orc_cota*INDEX(w_fpm,C28)*(1-fundeb)+IF(OR(C28=7,C28=9,C28=12),orc_extra/3,0))</f>
        <v>6.46522102319659</v>
      </c>
      <c r="AJ28" s="10" t="n">
        <f aca="false">AC28-AI28</f>
        <v>0.697928799483992</v>
      </c>
      <c r="AK28" s="10" t="n">
        <f aca="false">SUM($AJ$20:AJ28)</f>
        <v>-3.6546149723446</v>
      </c>
    </row>
    <row r="29" customFormat="false" ht="15" hidden="false" customHeight="false" outlineLevel="0" collapsed="false">
      <c r="A29" s="54" t="n">
        <v>46661</v>
      </c>
      <c r="B29" s="55" t="n">
        <f aca="false">YEAR(A29)</f>
        <v>2027</v>
      </c>
      <c r="C29" s="55" t="n">
        <f aca="false">MONTH(A29)</f>
        <v>10</v>
      </c>
      <c r="D29" s="55" t="n">
        <f aca="false">ROW()-7</f>
        <v>22</v>
      </c>
      <c r="E29" s="10" t="n">
        <f aca="false">ipi_tot_27/12*INDEX(seas_fg,C29)</f>
        <v>463.887777331661</v>
      </c>
      <c r="F29" s="10" t="n">
        <v>0</v>
      </c>
      <c r="G29" s="10" t="n">
        <f aca="false">IF(C29&lt;$C$3,0,is_tot_27/12*$C$5*MIN(1,(C29-$C$3+1)/$C$4))</f>
        <v>3499.69583333333</v>
      </c>
      <c r="H29" s="10" t="n">
        <f aca="false">INDEX($E$8:$E$31,MAX(1,D29-lag_rec))</f>
        <v>471.12600257543</v>
      </c>
      <c r="I29" s="10" t="n">
        <f aca="false">F29</f>
        <v>0</v>
      </c>
      <c r="J29" s="10" t="n">
        <f aca="false">INDEX($G$8:$G$31,MAX(1,D29-lag_rec))</f>
        <v>3499.69583333333</v>
      </c>
      <c r="K29" s="10" t="n">
        <f aca="false">sh_same*H29+(1-sh_same)*INDEX($H$8:$H$31,MAX(1,D29-1))+(1-frac_imp)*I29+frac_imp*INDEX($I$8:$I$31,MAX(1,D29-1))</f>
        <v>505.402205913327</v>
      </c>
      <c r="L29" s="10" t="n">
        <f aca="false">sh_same*J29+(1-sh_same)*INDEX($J$8:$J$31,MAX(1,D29-1))</f>
        <v>3499.69583333333</v>
      </c>
      <c r="M29" s="10" t="n">
        <f aca="false">K29+L29</f>
        <v>4005.09803924666</v>
      </c>
      <c r="N29" s="10" t="n">
        <f aca="false">p_reg*M29</f>
        <v>2282.9058823706</v>
      </c>
      <c r="O29" s="10" t="n">
        <f aca="false">IF(OR(C29=7,C29=9,C29=12),ext_each*SUM(H17:J28),0)</f>
        <v>0</v>
      </c>
      <c r="P29" s="10" t="n">
        <f aca="false">N29+O29</f>
        <v>2282.9058823706</v>
      </c>
      <c r="Q29" s="10" t="n">
        <f aca="false">ref_anual*INDEX(IPCA!$D$18:$D$29,C29)/sum_idx27</f>
        <v>5473.62542412574</v>
      </c>
      <c r="R29" s="10" t="n">
        <f aca="false">Q29-P29</f>
        <v>3190.71954175514</v>
      </c>
      <c r="S29" s="10" t="n">
        <f aca="false">MIN(0,T28)</f>
        <v>0</v>
      </c>
      <c r="T29" s="10" t="n">
        <f aca="false">R29+S29</f>
        <v>3190.71954175514</v>
      </c>
      <c r="U29" s="10" t="n">
        <f aca="false">MAX(0,T29)</f>
        <v>3190.71954175514</v>
      </c>
      <c r="V29" s="10" t="n">
        <f aca="false">IF(cap_on=1,MIN(IF(D29-lag_comp&lt;13,0,INDEX($U$8:$U$31,D29-lag_comp)),MAX(0,comp_fundo-SUM($V$20:V28))),IF(D29-lag_comp&lt;13,0,INDEX($U$8:$U$31,D29-lag_comp)))</f>
        <v>3182.54701892683</v>
      </c>
      <c r="W29" s="10" t="n">
        <f aca="false">P29+V29</f>
        <v>5465.45290129743</v>
      </c>
      <c r="X29" s="10" t="n">
        <f aca="false">s_T*p_fpm_reg*M29</f>
        <v>4.87211825844944</v>
      </c>
      <c r="Y29" s="10" t="n">
        <f aca="false">s_T*O29</f>
        <v>0</v>
      </c>
      <c r="Z29" s="10" t="n">
        <f aca="false">s_T*(p_fpm_reg/p_all)*V29</f>
        <v>6.45250348736524</v>
      </c>
      <c r="AA29" s="10" t="n">
        <f aca="false">s_T*(p_fpm_ext/p_all)*V29</f>
        <v>0.860333798315366</v>
      </c>
      <c r="AB29" s="10" t="n">
        <f aca="false">fundeb*(X29+Z29)</f>
        <v>2.26492434916294</v>
      </c>
      <c r="AC29" s="10" t="n">
        <f aca="false">X29+Y29-fundeb*X29</f>
        <v>3.89769460675956</v>
      </c>
      <c r="AD29" s="10" t="n">
        <f aca="false">Z29+AA29-fundeb*Z29</f>
        <v>6.02233658820756</v>
      </c>
      <c r="AE29" s="10" t="n">
        <f aca="false">AC29+AD29</f>
        <v>9.92003119496711</v>
      </c>
      <c r="AF29" s="10" t="n">
        <f aca="false">s_T*Q29*(p_fpm_reg/p_all*(1-fundeb)+p_fpm_ext/p_all)</f>
        <v>10.357746316336</v>
      </c>
      <c r="AG29" s="10" t="n">
        <f aca="false">AE29-AF29</f>
        <v>-0.437715121368907</v>
      </c>
      <c r="AH29" s="10" t="n">
        <f aca="false">SUM($AG$20:AG29)</f>
        <v>-10.1678426038424</v>
      </c>
      <c r="AI29" s="10" t="n">
        <f aca="false">share_ipiis*(orc_cota*INDEX(w_fpm,C29)*(1-fundeb)+IF(OR(C29=7,C29=9,C29=12),orc_extra/3,0))</f>
        <v>3.44784314129058</v>
      </c>
      <c r="AJ29" s="10" t="n">
        <f aca="false">AC29-AI29</f>
        <v>0.449851465468977</v>
      </c>
      <c r="AK29" s="10" t="n">
        <f aca="false">SUM($AJ$20:AJ29)</f>
        <v>-3.20476350687563</v>
      </c>
    </row>
    <row r="30" customFormat="false" ht="15" hidden="false" customHeight="false" outlineLevel="0" collapsed="false">
      <c r="A30" s="54" t="n">
        <v>46692</v>
      </c>
      <c r="B30" s="55" t="n">
        <f aca="false">YEAR(A30)</f>
        <v>2027</v>
      </c>
      <c r="C30" s="55" t="n">
        <f aca="false">MONTH(A30)</f>
        <v>11</v>
      </c>
      <c r="D30" s="55" t="n">
        <f aca="false">ROW()-7</f>
        <v>23</v>
      </c>
      <c r="E30" s="10" t="n">
        <f aca="false">ipi_tot_27/12*INDEX(seas_fg,C30)</f>
        <v>500.399584415735</v>
      </c>
      <c r="F30" s="10" t="n">
        <v>0</v>
      </c>
      <c r="G30" s="10" t="n">
        <f aca="false">IF(C30&lt;$C$3,0,is_tot_27/12*$C$5*MIN(1,(C30-$C$3+1)/$C$4))</f>
        <v>3499.69583333333</v>
      </c>
      <c r="H30" s="10" t="n">
        <f aca="false">INDEX($E$8:$E$31,MAX(1,D30-lag_rec))</f>
        <v>463.887777331661</v>
      </c>
      <c r="I30" s="10" t="n">
        <f aca="false">F30</f>
        <v>0</v>
      </c>
      <c r="J30" s="10" t="n">
        <f aca="false">INDEX($G$8:$G$31,MAX(1,D30-lag_rec))</f>
        <v>3499.69583333333</v>
      </c>
      <c r="K30" s="10" t="n">
        <f aca="false">sh_same*H30+(1-sh_same)*INDEX($H$8:$H$31,MAX(1,D30-1))+(1-frac_imp)*I30+frac_imp*INDEX($I$8:$I$31,MAX(1,D30-1))</f>
        <v>468.085947973047</v>
      </c>
      <c r="L30" s="10" t="n">
        <f aca="false">sh_same*J30+(1-sh_same)*INDEX($J$8:$J$31,MAX(1,D30-1))</f>
        <v>3499.69583333333</v>
      </c>
      <c r="M30" s="10" t="n">
        <f aca="false">K30+L30</f>
        <v>3967.78178130638</v>
      </c>
      <c r="N30" s="10" t="n">
        <f aca="false">p_reg*M30</f>
        <v>2261.63561534464</v>
      </c>
      <c r="O30" s="10" t="n">
        <f aca="false">IF(OR(C30=7,C30=9,C30=12),ext_each*SUM(H18:J29),0)</f>
        <v>0</v>
      </c>
      <c r="P30" s="10" t="n">
        <f aca="false">N30+O30</f>
        <v>2261.63561534464</v>
      </c>
      <c r="Q30" s="10" t="n">
        <f aca="false">ref_anual*INDEX(IPCA!$D$18:$D$29,C30)/sum_idx27</f>
        <v>5492.95075593046</v>
      </c>
      <c r="R30" s="10" t="n">
        <f aca="false">Q30-P30</f>
        <v>3231.31514058582</v>
      </c>
      <c r="S30" s="10" t="n">
        <f aca="false">MIN(0,T29)</f>
        <v>0</v>
      </c>
      <c r="T30" s="10" t="n">
        <f aca="false">R30+S30</f>
        <v>3231.31514058582</v>
      </c>
      <c r="U30" s="10" t="n">
        <f aca="false">MAX(0,T30)</f>
        <v>3231.31514058582</v>
      </c>
      <c r="V30" s="10" t="n">
        <f aca="false">IF(cap_on=1,MIN(IF(D30-lag_comp&lt;13,0,INDEX($U$8:$U$31,D30-lag_comp)),MAX(0,comp_fundo-SUM($V$20:V29))),IF(D30-lag_comp&lt;13,0,INDEX($U$8:$U$31,D30-lag_comp)))</f>
        <v>2577.70998997533</v>
      </c>
      <c r="W30" s="10" t="n">
        <f aca="false">P30+V30</f>
        <v>4839.34560531997</v>
      </c>
      <c r="X30" s="10" t="n">
        <f aca="false">s_T*p_fpm_reg*M30</f>
        <v>4.82672380870907</v>
      </c>
      <c r="Y30" s="10" t="n">
        <f aca="false">s_T*O30</f>
        <v>0</v>
      </c>
      <c r="Z30" s="10" t="n">
        <f aca="false">s_T*(p_fpm_reg/p_all)*V30</f>
        <v>5.22621742925283</v>
      </c>
      <c r="AA30" s="10" t="n">
        <f aca="false">s_T*(p_fpm_ext/p_all)*V30</f>
        <v>0.696828990567044</v>
      </c>
      <c r="AB30" s="10" t="n">
        <f aca="false">fundeb*(X30+Z30)</f>
        <v>2.01058824759238</v>
      </c>
      <c r="AC30" s="10" t="n">
        <f aca="false">X30+Y30-fundeb*X30</f>
        <v>3.86137904696726</v>
      </c>
      <c r="AD30" s="10" t="n">
        <f aca="false">Z30+AA30-fundeb*Z30</f>
        <v>4.87780293396931</v>
      </c>
      <c r="AE30" s="10" t="n">
        <f aca="false">AC30+AD30</f>
        <v>8.73918198093657</v>
      </c>
      <c r="AF30" s="10" t="n">
        <f aca="false">s_T*Q30*(p_fpm_reg/p_all*(1-fundeb)+p_fpm_ext/p_all)</f>
        <v>10.3943156591029</v>
      </c>
      <c r="AG30" s="10" t="n">
        <f aca="false">AE30-AF30</f>
        <v>-1.65513367816632</v>
      </c>
      <c r="AH30" s="10" t="n">
        <f aca="false">SUM($AG$20:AG30)</f>
        <v>-11.8229762820087</v>
      </c>
      <c r="AI30" s="10" t="n">
        <f aca="false">share_ipiis*(orc_cota*INDEX(w_fpm,C30)*(1-fundeb)+IF(OR(C30=7,C30=9,C30=12),orc_extra/3,0))</f>
        <v>4.47427905302635</v>
      </c>
      <c r="AJ30" s="10" t="n">
        <f aca="false">AC30-AI30</f>
        <v>-0.612900006059095</v>
      </c>
      <c r="AK30" s="10" t="n">
        <f aca="false">SUM($AJ$20:AJ30)</f>
        <v>-3.81766351293472</v>
      </c>
    </row>
    <row r="31" customFormat="false" ht="15" hidden="false" customHeight="false" outlineLevel="0" collapsed="false">
      <c r="A31" s="54" t="n">
        <v>46722</v>
      </c>
      <c r="B31" s="55" t="n">
        <f aca="false">YEAR(A31)</f>
        <v>2027</v>
      </c>
      <c r="C31" s="55" t="n">
        <f aca="false">MONTH(A31)</f>
        <v>12</v>
      </c>
      <c r="D31" s="55" t="n">
        <f aca="false">ROW()-7</f>
        <v>24</v>
      </c>
      <c r="E31" s="10" t="n">
        <f aca="false">ipi_tot_27/12*INDEX(seas_fg,C31)</f>
        <v>433.194037373907</v>
      </c>
      <c r="F31" s="10" t="n">
        <v>0</v>
      </c>
      <c r="G31" s="10" t="n">
        <f aca="false">IF(C31&lt;$C$3,0,is_tot_27/12*$C$5*MIN(1,(C31-$C$3+1)/$C$4))</f>
        <v>3499.69583333333</v>
      </c>
      <c r="H31" s="10" t="n">
        <f aca="false">INDEX($E$8:$E$31,MAX(1,D31-lag_rec))</f>
        <v>500.399584415735</v>
      </c>
      <c r="I31" s="10" t="n">
        <f aca="false">F31</f>
        <v>0</v>
      </c>
      <c r="J31" s="10" t="n">
        <f aca="false">INDEX($G$8:$G$31,MAX(1,D31-lag_rec))</f>
        <v>3499.69583333333</v>
      </c>
      <c r="K31" s="10" t="n">
        <f aca="false">sh_same*H31+(1-sh_same)*INDEX($H$8:$H$31,MAX(1,D31-1))+(1-frac_imp)*I31+frac_imp*INDEX($I$8:$I$31,MAX(1,D31-1))</f>
        <v>479.222736306972</v>
      </c>
      <c r="L31" s="10" t="n">
        <f aca="false">sh_same*J31+(1-sh_same)*INDEX($J$8:$J$31,MAX(1,D31-1))</f>
        <v>3499.69583333333</v>
      </c>
      <c r="M31" s="10" t="n">
        <f aca="false">K31+L31</f>
        <v>3978.91856964031</v>
      </c>
      <c r="N31" s="10" t="n">
        <f aca="false">p_reg*M31</f>
        <v>2267.98358469497</v>
      </c>
      <c r="O31" s="10" t="n">
        <f aca="false">IF(OR(C31=7,C31=9,C31=12),ext_each*SUM(H19:J30),0)</f>
        <v>463.785106443973</v>
      </c>
      <c r="P31" s="10" t="n">
        <f aca="false">N31+O31</f>
        <v>2731.76869113895</v>
      </c>
      <c r="Q31" s="10" t="n">
        <f aca="false">ref_anual*INDEX(IPCA!$D$18:$D$29,C31)/sum_idx27</f>
        <v>5512.34431828082</v>
      </c>
      <c r="R31" s="10" t="n">
        <f aca="false">Q31-P31</f>
        <v>2780.57562714187</v>
      </c>
      <c r="S31" s="10" t="n">
        <f aca="false">MIN(0,T30)</f>
        <v>0</v>
      </c>
      <c r="T31" s="10" t="n">
        <f aca="false">R31+S31</f>
        <v>2780.57562714187</v>
      </c>
      <c r="U31" s="10" t="n">
        <f aca="false">MAX(0,T31)</f>
        <v>2780.57562714187</v>
      </c>
      <c r="V31" s="10" t="n">
        <f aca="false">IF(cap_on=1,MIN(IF(D31-lag_comp&lt;13,0,INDEX($U$8:$U$31,D31-lag_comp)),MAX(0,comp_fundo-SUM($V$20:V30))),IF(D31-lag_comp&lt;13,0,INDEX($U$8:$U$31,D31-lag_comp)))</f>
        <v>3190.71954175514</v>
      </c>
      <c r="W31" s="10" t="n">
        <f aca="false">P31+V31</f>
        <v>5922.48823289409</v>
      </c>
      <c r="X31" s="10" t="n">
        <f aca="false">s_T*p_fpm_reg*M31</f>
        <v>4.84027147951526</v>
      </c>
      <c r="Y31" s="10" t="n">
        <f aca="false">s_T*O31</f>
        <v>2.50748849808722</v>
      </c>
      <c r="Z31" s="10" t="n">
        <f aca="false">s_T*(p_fpm_reg/p_all)*V31</f>
        <v>6.46907299340448</v>
      </c>
      <c r="AA31" s="10" t="n">
        <f aca="false">s_T*(p_fpm_ext/p_all)*V31</f>
        <v>0.862543065787264</v>
      </c>
      <c r="AB31" s="10" t="n">
        <f aca="false">fundeb*(X31+Z31)</f>
        <v>2.26186889458395</v>
      </c>
      <c r="AC31" s="10" t="n">
        <f aca="false">X31+Y31-fundeb*X31</f>
        <v>6.37970568169942</v>
      </c>
      <c r="AD31" s="10" t="n">
        <f aca="false">Z31+AA31-fundeb*Z31</f>
        <v>6.03780146051085</v>
      </c>
      <c r="AE31" s="10" t="n">
        <f aca="false">AC31+AD31</f>
        <v>12.4175071422103</v>
      </c>
      <c r="AF31" s="10" t="n">
        <f aca="false">s_T*Q31*(p_fpm_reg/p_all*(1-fundeb)+p_fpm_ext/p_all)</f>
        <v>10.4310141145927</v>
      </c>
      <c r="AG31" s="10" t="n">
        <f aca="false">AE31-AF31</f>
        <v>1.98649302761759</v>
      </c>
      <c r="AH31" s="10" t="n">
        <f aca="false">SUM($AG$20:AG31)</f>
        <v>-9.83648325439114</v>
      </c>
      <c r="AI31" s="10" t="n">
        <f aca="false">share_ipiis*(orc_cota*INDEX(w_fpm,C31)*(1-fundeb)+IF(OR(C31=7,C31=9,C31=12),orc_extra/3,0))</f>
        <v>7.61602043178052</v>
      </c>
      <c r="AJ31" s="10" t="n">
        <f aca="false">AC31-AI31</f>
        <v>-1.2363147500811</v>
      </c>
      <c r="AK31" s="10" t="n">
        <f aca="false">SUM($AJ$20:AJ31)</f>
        <v>-5.05397826301582</v>
      </c>
    </row>
    <row r="33" customFormat="false" ht="15" hidden="false" customHeight="false" outlineLevel="0" collapsed="false">
      <c r="A33" s="12" t="s">
        <v>376</v>
      </c>
      <c r="G33" s="56" t="n">
        <f aca="false">SUM(G20:G31)</f>
        <v>34996.9583333333</v>
      </c>
      <c r="H33" s="56" t="n">
        <f aca="false">SUM(H20:H31)</f>
        <v>10206.3601765808</v>
      </c>
      <c r="I33" s="56" t="n">
        <f aca="false">SUM(I20:I31)</f>
        <v>0</v>
      </c>
      <c r="J33" s="56" t="n">
        <f aca="false">SUM(J20:J31)</f>
        <v>31497.2625</v>
      </c>
      <c r="K33" s="56" t="n">
        <f aca="false">SUM(K20:K31)</f>
        <v>14947.6187812477</v>
      </c>
      <c r="L33" s="56" t="n">
        <f aca="false">SUM(L20:L31)</f>
        <v>29467.4389166667</v>
      </c>
      <c r="M33" s="56" t="n">
        <f aca="false">SUM(M20:M31)</f>
        <v>44415.0576979144</v>
      </c>
      <c r="N33" s="56" t="n">
        <f aca="false">SUM(N20:N31)</f>
        <v>25316.5828878112</v>
      </c>
      <c r="O33" s="56" t="n">
        <f aca="false">SUM(O20:O31)</f>
        <v>1770.61433591018</v>
      </c>
      <c r="P33" s="56" t="n">
        <f aca="false">SUM(P20:P31)</f>
        <v>27087.1972237214</v>
      </c>
      <c r="Q33" s="56" t="n">
        <f aca="false">SUM(Q20:Q31)</f>
        <v>64883.0492661198</v>
      </c>
      <c r="R33" s="56" t="n">
        <f aca="false">SUM(R20:R31)</f>
        <v>37795.8520423984</v>
      </c>
      <c r="U33" s="56" t="n">
        <f aca="false">SUM(U20:U31)</f>
        <v>37795.8520423984</v>
      </c>
      <c r="V33" s="56" t="n">
        <f aca="false">SUM(V20:V31)</f>
        <v>31783.9612746707</v>
      </c>
      <c r="W33" s="56" t="n">
        <f aca="false">SUM(W20:W31)</f>
        <v>58871.1584983921</v>
      </c>
      <c r="X33" s="56" t="n">
        <f aca="false">SUM(X20:X31)</f>
        <v>54.0299916355599</v>
      </c>
      <c r="Y33" s="56" t="n">
        <f aca="false">SUM(Y20:Y31)</f>
        <v>9.57295743255927</v>
      </c>
      <c r="Z33" s="56" t="n">
        <f aca="false">SUM(Z20:Z31)</f>
        <v>64.4408769917405</v>
      </c>
      <c r="AA33" s="56" t="n">
        <f aca="false">SUM(AA20:AA31)</f>
        <v>8.59211693223207</v>
      </c>
      <c r="AB33" s="56" t="n">
        <f aca="false">SUM(AB20:AB31)</f>
        <v>23.6941737254601</v>
      </c>
      <c r="AC33" s="56" t="n">
        <f aca="false">SUM(AC20:AC31)</f>
        <v>52.7969507410072</v>
      </c>
      <c r="AD33" s="56" t="n">
        <f aca="false">SUM(AD20:AD31)</f>
        <v>60.1448185256245</v>
      </c>
      <c r="AE33" s="56" t="n">
        <f aca="false">SUM(AE20:AE31)</f>
        <v>112.941769266632</v>
      </c>
      <c r="AF33" s="56" t="n">
        <f aca="false">SUM(AF20:AF31)</f>
        <v>122.778252521023</v>
      </c>
      <c r="AG33" s="56" t="n">
        <f aca="false">SUM(AG20:AG31)</f>
        <v>-9.83648325439114</v>
      </c>
      <c r="AI33" s="56" t="n">
        <f aca="false">SUM(AI20:AI31)</f>
        <v>57.850929004023</v>
      </c>
      <c r="AJ33" s="56" t="n">
        <f aca="false">SUM(AJ20:AJ31)</f>
        <v>-5.05397826301582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7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" min="3" style="0" width="7"/>
    <col collapsed="false" customWidth="true" hidden="false" outlineLevel="0" max="4" min="4" style="0" width="6"/>
    <col collapsed="false" customWidth="true" hidden="false" outlineLevel="0" max="37" min="5" style="0" width="15"/>
  </cols>
  <sheetData>
    <row r="1" customFormat="false" ht="24" hidden="false" customHeight="true" outlineLevel="0" collapsed="false">
      <c r="A1" s="1" t="s">
        <v>377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customFormat="false" ht="15" hidden="false" customHeight="false" outlineLevel="0" collapsed="false">
      <c r="A2" s="3" t="s">
        <v>337</v>
      </c>
    </row>
    <row r="3" customFormat="false" ht="15" hidden="false" customHeight="false" outlineLevel="0" collapsed="false">
      <c r="A3" s="12" t="s">
        <v>338</v>
      </c>
      <c r="C3" s="49" t="n">
        <f aca="false">isB_start</f>
        <v>4</v>
      </c>
    </row>
    <row r="4" customFormat="false" ht="15" hidden="false" customHeight="false" outlineLevel="0" collapsed="false">
      <c r="A4" s="12" t="s">
        <v>339</v>
      </c>
      <c r="C4" s="49" t="n">
        <f aca="false">isB_ramp</f>
        <v>1</v>
      </c>
    </row>
    <row r="5" customFormat="false" ht="15" hidden="false" customHeight="false" outlineLevel="0" collapsed="false">
      <c r="A5" s="12" t="s">
        <v>340</v>
      </c>
      <c r="C5" s="50" t="n">
        <f aca="false">isB_real</f>
        <v>1</v>
      </c>
    </row>
    <row r="7" customFormat="false" ht="66" hidden="false" customHeight="true" outlineLevel="0" collapsed="false">
      <c r="A7" s="6" t="s">
        <v>70</v>
      </c>
      <c r="B7" s="6" t="s">
        <v>295</v>
      </c>
      <c r="C7" s="6" t="s">
        <v>341</v>
      </c>
      <c r="D7" s="6" t="s">
        <v>342</v>
      </c>
      <c r="E7" s="6" t="s">
        <v>343</v>
      </c>
      <c r="F7" s="6" t="s">
        <v>344</v>
      </c>
      <c r="G7" s="6" t="s">
        <v>345</v>
      </c>
      <c r="H7" s="6" t="s">
        <v>346</v>
      </c>
      <c r="I7" s="6" t="s">
        <v>347</v>
      </c>
      <c r="J7" s="6" t="s">
        <v>348</v>
      </c>
      <c r="K7" s="6" t="s">
        <v>349</v>
      </c>
      <c r="L7" s="6" t="s">
        <v>350</v>
      </c>
      <c r="M7" s="6" t="s">
        <v>351</v>
      </c>
      <c r="N7" s="6" t="s">
        <v>352</v>
      </c>
      <c r="O7" s="6" t="s">
        <v>353</v>
      </c>
      <c r="P7" s="6" t="s">
        <v>354</v>
      </c>
      <c r="Q7" s="6" t="s">
        <v>355</v>
      </c>
      <c r="R7" s="6" t="s">
        <v>356</v>
      </c>
      <c r="S7" s="6" t="s">
        <v>357</v>
      </c>
      <c r="T7" s="6" t="s">
        <v>358</v>
      </c>
      <c r="U7" s="6" t="s">
        <v>359</v>
      </c>
      <c r="V7" s="6" t="s">
        <v>360</v>
      </c>
      <c r="W7" s="6" t="s">
        <v>361</v>
      </c>
      <c r="X7" s="6" t="s">
        <v>362</v>
      </c>
      <c r="Y7" s="6" t="s">
        <v>363</v>
      </c>
      <c r="Z7" s="6" t="s">
        <v>364</v>
      </c>
      <c r="AA7" s="6" t="s">
        <v>365</v>
      </c>
      <c r="AB7" s="6" t="s">
        <v>366</v>
      </c>
      <c r="AC7" s="6" t="s">
        <v>367</v>
      </c>
      <c r="AD7" s="6" t="s">
        <v>368</v>
      </c>
      <c r="AE7" s="6" t="s">
        <v>369</v>
      </c>
      <c r="AF7" s="6" t="s">
        <v>370</v>
      </c>
      <c r="AG7" s="6" t="s">
        <v>371</v>
      </c>
      <c r="AH7" s="6" t="s">
        <v>372</v>
      </c>
      <c r="AI7" s="6" t="s">
        <v>373</v>
      </c>
      <c r="AJ7" s="6" t="s">
        <v>374</v>
      </c>
      <c r="AK7" s="6" t="s">
        <v>375</v>
      </c>
    </row>
    <row r="8" customFormat="false" ht="15" hidden="false" customHeight="false" outlineLevel="0" collapsed="false">
      <c r="A8" s="51" t="n">
        <v>46023</v>
      </c>
      <c r="B8" s="52" t="n">
        <f aca="false">YEAR(A8)</f>
        <v>2026</v>
      </c>
      <c r="C8" s="52" t="n">
        <f aca="false">MONTH(A8)</f>
        <v>1</v>
      </c>
      <c r="D8" s="52" t="n">
        <f aca="false">ROW()-7</f>
        <v>1</v>
      </c>
      <c r="E8" s="53" t="n">
        <f aca="false">ipi_tot_26*(1-imp_share)/12*INDEX(seas_fg,C8)</f>
        <v>5119.32837439367</v>
      </c>
      <c r="F8" s="53" t="n">
        <f aca="false">ipi_tot_26*imp_share/12*INDEX(seas_fg,C8)</f>
        <v>2722.91346850809</v>
      </c>
      <c r="G8" s="53" t="n">
        <v>0</v>
      </c>
      <c r="H8" s="53" t="n">
        <f aca="false">INDEX($E$8:$E$31,MAX(1,D8-lag_rec))</f>
        <v>5119.32837439367</v>
      </c>
      <c r="I8" s="53" t="n">
        <f aca="false">F8</f>
        <v>2722.91346850809</v>
      </c>
      <c r="J8" s="53" t="n">
        <f aca="false">INDEX($G$8:$G$31,MAX(1,D8-lag_rec))</f>
        <v>0</v>
      </c>
      <c r="K8" s="53" t="n">
        <f aca="false">sh_same*H8+(1-sh_same)*INDEX($H$8:$H$31,MAX(1,D8-1))+(1-frac_imp)*I8+frac_imp*INDEX($I$8:$I$31,MAX(1,D8-1))</f>
        <v>7842.24184290177</v>
      </c>
      <c r="L8" s="53" t="n">
        <f aca="false">sh_same*J8+(1-sh_same)*INDEX($J$8:$J$31,MAX(1,D8-1))</f>
        <v>0</v>
      </c>
      <c r="M8" s="53" t="n">
        <f aca="false">K8+L8</f>
        <v>7842.24184290177</v>
      </c>
      <c r="N8" s="53" t="n">
        <f aca="false">p_reg*M8</f>
        <v>4470.07785045401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</row>
    <row r="9" customFormat="false" ht="15" hidden="false" customHeight="false" outlineLevel="0" collapsed="false">
      <c r="A9" s="51" t="n">
        <v>46054</v>
      </c>
      <c r="B9" s="52" t="n">
        <f aca="false">YEAR(A9)</f>
        <v>2026</v>
      </c>
      <c r="C9" s="52" t="n">
        <f aca="false">MONTH(A9)</f>
        <v>2</v>
      </c>
      <c r="D9" s="52" t="n">
        <f aca="false">ROW()-7</f>
        <v>2</v>
      </c>
      <c r="E9" s="53" t="n">
        <f aca="false">ipi_tot_26*(1-imp_share)/12*INDEX(seas_fg,C9)</f>
        <v>5682.70464334118</v>
      </c>
      <c r="F9" s="53" t="n">
        <f aca="false">ipi_tot_26*imp_share/12*INDEX(seas_fg,C9)</f>
        <v>3022.56700084019</v>
      </c>
      <c r="G9" s="53" t="n">
        <v>0</v>
      </c>
      <c r="H9" s="53" t="n">
        <f aca="false">INDEX($E$8:$E$31,MAX(1,D9-lag_rec))</f>
        <v>5119.32837439367</v>
      </c>
      <c r="I9" s="53" t="n">
        <f aca="false">F9</f>
        <v>3022.56700084019</v>
      </c>
      <c r="J9" s="53" t="n">
        <f aca="false">INDEX($G$8:$G$31,MAX(1,D9-lag_rec))</f>
        <v>0</v>
      </c>
      <c r="K9" s="53" t="n">
        <f aca="false">sh_same*H9+(1-sh_same)*INDEX($H$8:$H$31,MAX(1,D9-1))+(1-frac_imp)*I9+frac_imp*INDEX($I$8:$I$31,MAX(1,D9-1))</f>
        <v>7968.09632648125</v>
      </c>
      <c r="L9" s="53" t="n">
        <f aca="false">sh_same*J9+(1-sh_same)*INDEX($J$8:$J$31,MAX(1,D9-1))</f>
        <v>0</v>
      </c>
      <c r="M9" s="53" t="n">
        <f aca="false">K9+L9</f>
        <v>7968.09632648125</v>
      </c>
      <c r="N9" s="53" t="n">
        <f aca="false">p_reg*M9</f>
        <v>4541.81490609431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</row>
    <row r="10" customFormat="false" ht="15" hidden="false" customHeight="false" outlineLevel="0" collapsed="false">
      <c r="A10" s="51" t="n">
        <v>46082</v>
      </c>
      <c r="B10" s="52" t="n">
        <f aca="false">YEAR(A10)</f>
        <v>2026</v>
      </c>
      <c r="C10" s="52" t="n">
        <f aca="false">MONTH(A10)</f>
        <v>3</v>
      </c>
      <c r="D10" s="52" t="n">
        <f aca="false">ROW()-7</f>
        <v>3</v>
      </c>
      <c r="E10" s="53" t="n">
        <f aca="false">ipi_tot_26*(1-imp_share)/12*INDEX(seas_fg,C10)</f>
        <v>4756.61411629716</v>
      </c>
      <c r="F10" s="53" t="n">
        <f aca="false">ipi_tot_26*imp_share/12*INDEX(seas_fg,C10)</f>
        <v>2529.9898140047</v>
      </c>
      <c r="G10" s="53" t="n">
        <v>0</v>
      </c>
      <c r="H10" s="53" t="n">
        <f aca="false">INDEX($E$8:$E$31,MAX(1,D10-lag_rec))</f>
        <v>5682.70464334118</v>
      </c>
      <c r="I10" s="53" t="n">
        <f aca="false">F10</f>
        <v>2529.9898140047</v>
      </c>
      <c r="J10" s="53" t="n">
        <f aca="false">INDEX($G$8:$G$31,MAX(1,D10-lag_rec))</f>
        <v>0</v>
      </c>
      <c r="K10" s="53" t="n">
        <f aca="false">sh_same*H10+(1-sh_same)*INDEX($H$8:$H$31,MAX(1,D10-1))+(1-frac_imp)*I10+frac_imp*INDEX($I$8:$I$31,MAX(1,D10-1))</f>
        <v>8171.63098972091</v>
      </c>
      <c r="L10" s="53" t="n">
        <f aca="false">sh_same*J10+(1-sh_same)*INDEX($J$8:$J$31,MAX(1,D10-1))</f>
        <v>0</v>
      </c>
      <c r="M10" s="53" t="n">
        <f aca="false">K10+L10</f>
        <v>8171.63098972091</v>
      </c>
      <c r="N10" s="53" t="n">
        <f aca="false">p_reg*M10</f>
        <v>4657.82966414092</v>
      </c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customFormat="false" ht="15" hidden="false" customHeight="false" outlineLevel="0" collapsed="false">
      <c r="A11" s="51" t="n">
        <v>46113</v>
      </c>
      <c r="B11" s="52" t="n">
        <f aca="false">YEAR(A11)</f>
        <v>2026</v>
      </c>
      <c r="C11" s="52" t="n">
        <f aca="false">MONTH(A11)</f>
        <v>4</v>
      </c>
      <c r="D11" s="52" t="n">
        <f aca="false">ROW()-7</f>
        <v>4</v>
      </c>
      <c r="E11" s="53" t="n">
        <f aca="false">ipi_tot_26*(1-imp_share)/12*INDEX(seas_fg,C11)</f>
        <v>5002.41148460244</v>
      </c>
      <c r="F11" s="53" t="n">
        <f aca="false">ipi_tot_26*imp_share/12*INDEX(seas_fg,C11)</f>
        <v>2660.72668332334</v>
      </c>
      <c r="G11" s="53" t="n">
        <v>0</v>
      </c>
      <c r="H11" s="53" t="n">
        <f aca="false">INDEX($E$8:$E$31,MAX(1,D11-lag_rec))</f>
        <v>4756.61411629716</v>
      </c>
      <c r="I11" s="53" t="n">
        <f aca="false">F11</f>
        <v>2660.72668332334</v>
      </c>
      <c r="J11" s="53" t="n">
        <f aca="false">INDEX($G$8:$G$31,MAX(1,D11-lag_rec))</f>
        <v>0</v>
      </c>
      <c r="K11" s="53" t="n">
        <f aca="false">sh_same*H11+(1-sh_same)*INDEX($H$8:$H$31,MAX(1,D11-1))+(1-frac_imp)*I11+frac_imp*INDEX($I$8:$I$31,MAX(1,D11-1))</f>
        <v>7878.64592110122</v>
      </c>
      <c r="L11" s="53" t="n">
        <f aca="false">sh_same*J11+(1-sh_same)*INDEX($J$8:$J$31,MAX(1,D11-1))</f>
        <v>0</v>
      </c>
      <c r="M11" s="53" t="n">
        <f aca="false">K11+L11</f>
        <v>7878.64592110122</v>
      </c>
      <c r="N11" s="53" t="n">
        <f aca="false">p_reg*M11</f>
        <v>4490.8281750277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</row>
    <row r="12" customFormat="false" ht="15" hidden="false" customHeight="false" outlineLevel="0" collapsed="false">
      <c r="A12" s="51" t="n">
        <v>46143</v>
      </c>
      <c r="B12" s="52" t="n">
        <f aca="false">YEAR(A12)</f>
        <v>2026</v>
      </c>
      <c r="C12" s="52" t="n">
        <f aca="false">MONTH(A12)</f>
        <v>5</v>
      </c>
      <c r="D12" s="52" t="n">
        <f aca="false">ROW()-7</f>
        <v>5</v>
      </c>
      <c r="E12" s="53" t="n">
        <f aca="false">ipi_tot_26*(1-imp_share)/12*INDEX(seas_fg,C12)</f>
        <v>5515.21440122165</v>
      </c>
      <c r="F12" s="53" t="n">
        <f aca="false">ipi_tot_26*imp_share/12*INDEX(seas_fg,C12)</f>
        <v>2933.48081555227</v>
      </c>
      <c r="G12" s="53" t="n">
        <v>0</v>
      </c>
      <c r="H12" s="53" t="n">
        <f aca="false">INDEX($E$8:$E$31,MAX(1,D12-lag_rec))</f>
        <v>5002.41148460244</v>
      </c>
      <c r="I12" s="53" t="n">
        <f aca="false">F12</f>
        <v>2933.48081555227</v>
      </c>
      <c r="J12" s="53" t="n">
        <f aca="false">INDEX($G$8:$G$31,MAX(1,D12-lag_rec))</f>
        <v>0</v>
      </c>
      <c r="K12" s="53" t="n">
        <f aca="false">sh_same*H12+(1-sh_same)*INDEX($H$8:$H$31,MAX(1,D12-1))+(1-frac_imp)*I12+frac_imp*INDEX($I$8:$I$31,MAX(1,D12-1))</f>
        <v>7635.13242984487</v>
      </c>
      <c r="L12" s="53" t="n">
        <f aca="false">sh_same*J12+(1-sh_same)*INDEX($J$8:$J$31,MAX(1,D12-1))</f>
        <v>0</v>
      </c>
      <c r="M12" s="53" t="n">
        <f aca="false">K12+L12</f>
        <v>7635.13242984487</v>
      </c>
      <c r="N12" s="53" t="n">
        <f aca="false">p_reg*M12</f>
        <v>4352.02548501158</v>
      </c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</row>
    <row r="13" customFormat="false" ht="15" hidden="false" customHeight="false" outlineLevel="0" collapsed="false">
      <c r="A13" s="51" t="n">
        <v>46174</v>
      </c>
      <c r="B13" s="52" t="n">
        <f aca="false">YEAR(A13)</f>
        <v>2026</v>
      </c>
      <c r="C13" s="52" t="n">
        <f aca="false">MONTH(A13)</f>
        <v>6</v>
      </c>
      <c r="D13" s="52" t="n">
        <f aca="false">ROW()-7</f>
        <v>6</v>
      </c>
      <c r="E13" s="53" t="n">
        <f aca="false">ipi_tot_26*(1-imp_share)/12*INDEX(seas_fg,C13)</f>
        <v>5455.39645760753</v>
      </c>
      <c r="F13" s="53" t="n">
        <f aca="false">ipi_tot_26*imp_share/12*INDEX(seas_fg,C13)</f>
        <v>2901.66432080659</v>
      </c>
      <c r="G13" s="53" t="n">
        <v>0</v>
      </c>
      <c r="H13" s="53" t="n">
        <f aca="false">INDEX($E$8:$E$31,MAX(1,D13-lag_rec))</f>
        <v>5515.21440122165</v>
      </c>
      <c r="I13" s="53" t="n">
        <f aca="false">F13</f>
        <v>2901.66432080659</v>
      </c>
      <c r="J13" s="53" t="n">
        <f aca="false">INDEX($G$8:$G$31,MAX(1,D13-lag_rec))</f>
        <v>0</v>
      </c>
      <c r="K13" s="53" t="n">
        <f aca="false">sh_same*H13+(1-sh_same)*INDEX($H$8:$H$31,MAX(1,D13-1))+(1-frac_imp)*I13+frac_imp*INDEX($I$8:$I$31,MAX(1,D13-1))</f>
        <v>8137.90659734159</v>
      </c>
      <c r="L13" s="53" t="n">
        <f aca="false">sh_same*J13+(1-sh_same)*INDEX($J$8:$J$31,MAX(1,D13-1))</f>
        <v>0</v>
      </c>
      <c r="M13" s="53" t="n">
        <f aca="false">K13+L13</f>
        <v>8137.90659734159</v>
      </c>
      <c r="N13" s="53" t="n">
        <f aca="false">p_reg*M13</f>
        <v>4638.60676048471</v>
      </c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</row>
    <row r="14" customFormat="false" ht="15" hidden="false" customHeight="false" outlineLevel="0" collapsed="false">
      <c r="A14" s="51" t="n">
        <v>46204</v>
      </c>
      <c r="B14" s="52" t="n">
        <f aca="false">YEAR(A14)</f>
        <v>2026</v>
      </c>
      <c r="C14" s="52" t="n">
        <f aca="false">MONTH(A14)</f>
        <v>7</v>
      </c>
      <c r="D14" s="52" t="n">
        <f aca="false">ROW()-7</f>
        <v>7</v>
      </c>
      <c r="E14" s="53" t="n">
        <f aca="false">ipi_tot_26*(1-imp_share)/12*INDEX(seas_fg,C14)</f>
        <v>5249.29645188253</v>
      </c>
      <c r="F14" s="53" t="n">
        <f aca="false">ipi_tot_26*imp_share/12*INDEX(seas_fg,C14)</f>
        <v>2792.04203436463</v>
      </c>
      <c r="G14" s="53" t="n">
        <v>0</v>
      </c>
      <c r="H14" s="53" t="n">
        <f aca="false">INDEX($E$8:$E$31,MAX(1,D14-lag_rec))</f>
        <v>5455.39645760753</v>
      </c>
      <c r="I14" s="53" t="n">
        <f aca="false">F14</f>
        <v>2792.04203436463</v>
      </c>
      <c r="J14" s="53" t="n">
        <f aca="false">INDEX($G$8:$G$31,MAX(1,D14-lag_rec))</f>
        <v>0</v>
      </c>
      <c r="K14" s="53" t="n">
        <f aca="false">sh_same*H14+(1-sh_same)*INDEX($H$8:$H$31,MAX(1,D14-1))+(1-frac_imp)*I14+frac_imp*INDEX($I$8:$I$31,MAX(1,D14-1))</f>
        <v>8345.71382540469</v>
      </c>
      <c r="L14" s="53" t="n">
        <f aca="false">sh_same*J14+(1-sh_same)*INDEX($J$8:$J$31,MAX(1,D14-1))</f>
        <v>0</v>
      </c>
      <c r="M14" s="53" t="n">
        <f aca="false">K14+L14</f>
        <v>8345.71382540469</v>
      </c>
      <c r="N14" s="53" t="n">
        <f aca="false">p_reg*M14</f>
        <v>4757.05688048067</v>
      </c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</row>
    <row r="15" customFormat="false" ht="15" hidden="false" customHeight="false" outlineLevel="0" collapsed="false">
      <c r="A15" s="51" t="n">
        <v>46235</v>
      </c>
      <c r="B15" s="52" t="n">
        <f aca="false">YEAR(A15)</f>
        <v>2026</v>
      </c>
      <c r="C15" s="52" t="n">
        <f aca="false">MONTH(A15)</f>
        <v>8</v>
      </c>
      <c r="D15" s="52" t="n">
        <f aca="false">ROW()-7</f>
        <v>8</v>
      </c>
      <c r="E15" s="53" t="n">
        <f aca="false">ipi_tot_26*(1-imp_share)/12*INDEX(seas_fg,C15)</f>
        <v>6293.93526717998</v>
      </c>
      <c r="F15" s="53" t="n">
        <f aca="false">ipi_tot_26*imp_share/12*INDEX(seas_fg,C15)</f>
        <v>3347.67372896884</v>
      </c>
      <c r="G15" s="53" t="n">
        <v>0</v>
      </c>
      <c r="H15" s="53" t="n">
        <f aca="false">INDEX($E$8:$E$31,MAX(1,D15-lag_rec))</f>
        <v>5249.29645188253</v>
      </c>
      <c r="I15" s="53" t="n">
        <f aca="false">F15</f>
        <v>3347.67372896884</v>
      </c>
      <c r="J15" s="53" t="n">
        <f aca="false">INDEX($G$8:$G$31,MAX(1,D15-lag_rec))</f>
        <v>0</v>
      </c>
      <c r="K15" s="53" t="n">
        <f aca="false">sh_same*H15+(1-sh_same)*INDEX($H$8:$H$31,MAX(1,D15-1))+(1-frac_imp)*I15+frac_imp*INDEX($I$8:$I$31,MAX(1,D15-1))</f>
        <v>8394.24180130143</v>
      </c>
      <c r="L15" s="53" t="n">
        <f aca="false">sh_same*J15+(1-sh_same)*INDEX($J$8:$J$31,MAX(1,D15-1))</f>
        <v>0</v>
      </c>
      <c r="M15" s="53" t="n">
        <f aca="false">K15+L15</f>
        <v>8394.24180130143</v>
      </c>
      <c r="N15" s="53" t="n">
        <f aca="false">p_reg*M15</f>
        <v>4784.71782674182</v>
      </c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</row>
    <row r="16" customFormat="false" ht="15" hidden="false" customHeight="false" outlineLevel="0" collapsed="false">
      <c r="A16" s="51" t="n">
        <v>46266</v>
      </c>
      <c r="B16" s="52" t="n">
        <f aca="false">YEAR(A16)</f>
        <v>2026</v>
      </c>
      <c r="C16" s="52" t="n">
        <f aca="false">MONTH(A16)</f>
        <v>9</v>
      </c>
      <c r="D16" s="52" t="n">
        <f aca="false">ROW()-7</f>
        <v>9</v>
      </c>
      <c r="E16" s="53" t="n">
        <f aca="false">ipi_tot_26*(1-imp_share)/12*INDEX(seas_fg,C16)</f>
        <v>5592.4339284326</v>
      </c>
      <c r="F16" s="53" t="n">
        <f aca="false">ipi_tot_26*imp_share/12*INDEX(seas_fg,C16)</f>
        <v>2974.55301786034</v>
      </c>
      <c r="G16" s="53" t="n">
        <v>0</v>
      </c>
      <c r="H16" s="53" t="n">
        <f aca="false">INDEX($E$8:$E$31,MAX(1,D16-lag_rec))</f>
        <v>6293.93526717998</v>
      </c>
      <c r="I16" s="53" t="n">
        <f aca="false">F16</f>
        <v>2974.55301786034</v>
      </c>
      <c r="J16" s="53" t="n">
        <f aca="false">INDEX($G$8:$G$31,MAX(1,D16-lag_rec))</f>
        <v>0</v>
      </c>
      <c r="K16" s="53" t="n">
        <f aca="false">sh_same*H16+(1-sh_same)*INDEX($H$8:$H$31,MAX(1,D16-1))+(1-frac_imp)*I16+frac_imp*INDEX($I$8:$I$31,MAX(1,D16-1))</f>
        <v>8879.00778461073</v>
      </c>
      <c r="L16" s="53" t="n">
        <f aca="false">sh_same*J16+(1-sh_same)*INDEX($J$8:$J$31,MAX(1,D16-1))</f>
        <v>0</v>
      </c>
      <c r="M16" s="53" t="n">
        <f aca="false">K16+L16</f>
        <v>8879.00778461073</v>
      </c>
      <c r="N16" s="53" t="n">
        <f aca="false">p_reg*M16</f>
        <v>5061.03443722811</v>
      </c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customFormat="false" ht="15" hidden="false" customHeight="false" outlineLevel="0" collapsed="false">
      <c r="A17" s="51" t="n">
        <v>46296</v>
      </c>
      <c r="B17" s="52" t="n">
        <f aca="false">YEAR(A17)</f>
        <v>2026</v>
      </c>
      <c r="C17" s="52" t="n">
        <f aca="false">MONTH(A17)</f>
        <v>10</v>
      </c>
      <c r="D17" s="52" t="n">
        <f aca="false">ROW()-7</f>
        <v>10</v>
      </c>
      <c r="E17" s="53" t="n">
        <f aca="false">ipi_tot_26*(1-imp_share)/12*INDEX(seas_fg,C17)</f>
        <v>5506.51360942323</v>
      </c>
      <c r="F17" s="53" t="n">
        <f aca="false">ipi_tot_26*imp_share/12*INDEX(seas_fg,C17)</f>
        <v>2928.85296177108</v>
      </c>
      <c r="G17" s="53" t="n">
        <v>0</v>
      </c>
      <c r="H17" s="53" t="n">
        <f aca="false">INDEX($E$8:$E$31,MAX(1,D17-lag_rec))</f>
        <v>5592.4339284326</v>
      </c>
      <c r="I17" s="53" t="n">
        <f aca="false">F17</f>
        <v>2928.85296177108</v>
      </c>
      <c r="J17" s="53" t="n">
        <f aca="false">INDEX($G$8:$G$31,MAX(1,D17-lag_rec))</f>
        <v>0</v>
      </c>
      <c r="K17" s="53" t="n">
        <f aca="false">sh_same*H17+(1-sh_same)*INDEX($H$8:$H$31,MAX(1,D17-1))+(1-frac_imp)*I17+frac_imp*INDEX($I$8:$I$31,MAX(1,D17-1))</f>
        <v>8954.66369920893</v>
      </c>
      <c r="L17" s="53" t="n">
        <f aca="false">sh_same*J17+(1-sh_same)*INDEX($J$8:$J$31,MAX(1,D17-1))</f>
        <v>0</v>
      </c>
      <c r="M17" s="53" t="n">
        <f aca="false">K17+L17</f>
        <v>8954.66369920893</v>
      </c>
      <c r="N17" s="53" t="n">
        <f aca="false">p_reg*M17</f>
        <v>5104.15830854909</v>
      </c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</row>
    <row r="18" customFormat="false" ht="15" hidden="false" customHeight="false" outlineLevel="0" collapsed="false">
      <c r="A18" s="51" t="n">
        <v>46327</v>
      </c>
      <c r="B18" s="52" t="n">
        <f aca="false">YEAR(A18)</f>
        <v>2026</v>
      </c>
      <c r="C18" s="52" t="n">
        <f aca="false">MONTH(A18)</f>
        <v>11</v>
      </c>
      <c r="D18" s="52" t="n">
        <f aca="false">ROW()-7</f>
        <v>11</v>
      </c>
      <c r="E18" s="53" t="n">
        <f aca="false">ipi_tot_26*(1-imp_share)/12*INDEX(seas_fg,C18)</f>
        <v>5939.92180088189</v>
      </c>
      <c r="F18" s="53" t="n">
        <f aca="false">ipi_tot_26*imp_share/12*INDEX(seas_fg,C18)</f>
        <v>3159.37792824664</v>
      </c>
      <c r="G18" s="53" t="n">
        <v>0</v>
      </c>
      <c r="H18" s="53" t="n">
        <f aca="false">INDEX($E$8:$E$31,MAX(1,D18-lag_rec))</f>
        <v>5506.51360942323</v>
      </c>
      <c r="I18" s="53" t="n">
        <f aca="false">F18</f>
        <v>3159.37792824664</v>
      </c>
      <c r="J18" s="53" t="n">
        <f aca="false">INDEX($G$8:$G$31,MAX(1,D18-lag_rec))</f>
        <v>0</v>
      </c>
      <c r="K18" s="53" t="n">
        <f aca="false">sh_same*H18+(1-sh_same)*INDEX($H$8:$H$31,MAX(1,D18-1))+(1-frac_imp)*I18+frac_imp*INDEX($I$8:$I$31,MAX(1,D18-1))</f>
        <v>8582.02084213948</v>
      </c>
      <c r="L18" s="53" t="n">
        <f aca="false">sh_same*J18+(1-sh_same)*INDEX($J$8:$J$31,MAX(1,D18-1))</f>
        <v>0</v>
      </c>
      <c r="M18" s="53" t="n">
        <f aca="false">K18+L18</f>
        <v>8582.02084213948</v>
      </c>
      <c r="N18" s="53" t="n">
        <f aca="false">p_reg*M18</f>
        <v>4891.75188001951</v>
      </c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</row>
    <row r="19" customFormat="false" ht="15" hidden="false" customHeight="false" outlineLevel="0" collapsed="false">
      <c r="A19" s="51" t="n">
        <v>46357</v>
      </c>
      <c r="B19" s="52" t="n">
        <f aca="false">YEAR(A19)</f>
        <v>2026</v>
      </c>
      <c r="C19" s="52" t="n">
        <f aca="false">MONTH(A19)</f>
        <v>12</v>
      </c>
      <c r="D19" s="52" t="n">
        <f aca="false">ROW()-7</f>
        <v>12</v>
      </c>
      <c r="E19" s="53" t="n">
        <f aca="false">ipi_tot_26*(1-imp_share)/12*INDEX(seas_fg,C19)</f>
        <v>5142.16795286452</v>
      </c>
      <c r="F19" s="53" t="n">
        <f aca="false">ipi_tot_26*imp_share/12*INDEX(seas_fg,C19)</f>
        <v>2735.06158468372</v>
      </c>
      <c r="G19" s="53" t="n">
        <v>0</v>
      </c>
      <c r="H19" s="53" t="n">
        <f aca="false">INDEX($E$8:$E$31,MAX(1,D19-lag_rec))</f>
        <v>5939.92180088189</v>
      </c>
      <c r="I19" s="53" t="n">
        <f aca="false">F19</f>
        <v>2735.06158468372</v>
      </c>
      <c r="J19" s="53" t="n">
        <f aca="false">INDEX($G$8:$G$31,MAX(1,D19-lag_rec))</f>
        <v>0</v>
      </c>
      <c r="K19" s="53" t="n">
        <f aca="false">sh_same*H19+(1-sh_same)*INDEX($H$8:$H$31,MAX(1,D19-1))+(1-frac_imp)*I19+frac_imp*INDEX($I$8:$I$31,MAX(1,D19-1))</f>
        <v>8669.71011378608</v>
      </c>
      <c r="L19" s="53" t="n">
        <f aca="false">sh_same*J19+(1-sh_same)*INDEX($J$8:$J$31,MAX(1,D19-1))</f>
        <v>0</v>
      </c>
      <c r="M19" s="53" t="n">
        <f aca="false">K19+L19</f>
        <v>8669.71011378608</v>
      </c>
      <c r="N19" s="53" t="n">
        <f aca="false">p_reg*M19</f>
        <v>4941.73476485807</v>
      </c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</row>
    <row r="20" customFormat="false" ht="15" hidden="false" customHeight="false" outlineLevel="0" collapsed="false">
      <c r="A20" s="54" t="n">
        <v>46388</v>
      </c>
      <c r="B20" s="55" t="n">
        <f aca="false">YEAR(A20)</f>
        <v>2027</v>
      </c>
      <c r="C20" s="55" t="n">
        <f aca="false">MONTH(A20)</f>
        <v>1</v>
      </c>
      <c r="D20" s="55" t="n">
        <f aca="false">ROW()-7</f>
        <v>13</v>
      </c>
      <c r="E20" s="10" t="n">
        <f aca="false">ipi_tot_27/12*INDEX(seas_fg,C20)</f>
        <v>431.269952182526</v>
      </c>
      <c r="F20" s="10" t="n">
        <v>0</v>
      </c>
      <c r="G20" s="10" t="n">
        <f aca="false">IF(C20&lt;$C$3,0,is_tot_27/12*$C$5*MIN(1,(C20-$C$3+1)/$C$4))</f>
        <v>0</v>
      </c>
      <c r="H20" s="10" t="n">
        <f aca="false">INDEX($E$8:$E$31,MAX(1,D20-lag_rec))</f>
        <v>5142.16795286452</v>
      </c>
      <c r="I20" s="10" t="n">
        <f aca="false">F20</f>
        <v>0</v>
      </c>
      <c r="J20" s="10" t="n">
        <f aca="false">INDEX($G$8:$G$31,MAX(1,D20-lag_rec))</f>
        <v>0</v>
      </c>
      <c r="K20" s="10" t="n">
        <f aca="false">sh_same*H20+(1-sh_same)*INDEX($H$8:$H$31,MAX(1,D20-1))+(1-frac_imp)*I20+frac_imp*INDEX($I$8:$I$31,MAX(1,D20-1))</f>
        <v>7191.20090383115</v>
      </c>
      <c r="L20" s="10" t="n">
        <f aca="false">sh_same*J20+(1-sh_same)*INDEX($J$8:$J$31,MAX(1,D20-1))</f>
        <v>0</v>
      </c>
      <c r="M20" s="10" t="n">
        <f aca="false">K20+L20</f>
        <v>7191.20090383115</v>
      </c>
      <c r="N20" s="10" t="n">
        <f aca="false">p_reg*M20</f>
        <v>4098.98451518375</v>
      </c>
      <c r="O20" s="10" t="n">
        <f aca="false">IF(OR(C20=7,C20=9,C20=12),ext_each*SUM(H8:J19),0)</f>
        <v>0</v>
      </c>
      <c r="P20" s="10" t="n">
        <f aca="false">N20+O20</f>
        <v>4098.98451518375</v>
      </c>
      <c r="Q20" s="10" t="n">
        <f aca="false">ref_anual*INDEX(IPCA!$D$18:$D$29,C20)/sum_idx27</f>
        <v>5302.72848166552</v>
      </c>
      <c r="R20" s="10" t="n">
        <f aca="false">Q20-P20</f>
        <v>1203.74396648176</v>
      </c>
      <c r="S20" s="10" t="n">
        <v>0</v>
      </c>
      <c r="T20" s="10" t="n">
        <f aca="false">R20+S20</f>
        <v>1203.74396648176</v>
      </c>
      <c r="U20" s="10" t="n">
        <f aca="false">MAX(0,T20)</f>
        <v>1203.74396648176</v>
      </c>
      <c r="V20" s="10" t="n">
        <f aca="false">IF(cap_on=1,MIN(IF(D20-lag_comp&lt;13,0,INDEX($U$8:$U$31,D20-lag_comp)),MAX(0,comp_fundo-0)),IF(D20-lag_comp&lt;13,0,INDEX($U$8:$U$31,D20-lag_comp)))</f>
        <v>0</v>
      </c>
      <c r="W20" s="10" t="n">
        <f aca="false">P20+V20</f>
        <v>4098.98451518375</v>
      </c>
      <c r="X20" s="10" t="n">
        <f aca="false">s_T*p_fpm_reg*M20</f>
        <v>8.74794596297175</v>
      </c>
      <c r="Y20" s="10" t="n">
        <f aca="false">s_T*O20</f>
        <v>0</v>
      </c>
      <c r="Z20" s="10" t="n">
        <f aca="false">s_T*(p_fpm_reg/p_all)*V20</f>
        <v>0</v>
      </c>
      <c r="AA20" s="10" t="n">
        <f aca="false">s_T*(p_fpm_ext/p_all)*V20</f>
        <v>0</v>
      </c>
      <c r="AB20" s="10" t="n">
        <f aca="false">fundeb*(X20+Z20)</f>
        <v>1.74958919259435</v>
      </c>
      <c r="AC20" s="10" t="n">
        <f aca="false">X20+Y20-fundeb*X20</f>
        <v>6.9983567703774</v>
      </c>
      <c r="AD20" s="10" t="n">
        <f aca="false">Z20+AA20-fundeb*Z20</f>
        <v>0</v>
      </c>
      <c r="AE20" s="10" t="n">
        <f aca="false">AC20+AD20</f>
        <v>6.9983567703774</v>
      </c>
      <c r="AF20" s="10" t="n">
        <f aca="false">s_T*Q20*(p_fpm_reg/p_all*(1-fundeb)+p_fpm_ext/p_all)</f>
        <v>10.0343578783113</v>
      </c>
      <c r="AG20" s="10" t="n">
        <f aca="false">AE20-AF20</f>
        <v>-3.0360011079339</v>
      </c>
      <c r="AH20" s="10" t="n">
        <f aca="false">SUM($AG$20:AG20)</f>
        <v>-3.0360011079339</v>
      </c>
      <c r="AI20" s="10" t="n">
        <f aca="false">share_ipiis*(orc_cota*INDEX(w_fpm,C20)*(1-fundeb)+IF(OR(C20=7,C20=9,C20=12),orc_extra/3,0))</f>
        <v>4.14364388547174</v>
      </c>
      <c r="AJ20" s="10" t="n">
        <f aca="false">AC20-AI20</f>
        <v>2.85471288490566</v>
      </c>
      <c r="AK20" s="10" t="n">
        <f aca="false">SUM($AJ$20:AJ20)</f>
        <v>2.85471288490566</v>
      </c>
    </row>
    <row r="21" customFormat="false" ht="15" hidden="false" customHeight="false" outlineLevel="0" collapsed="false">
      <c r="A21" s="54" t="n">
        <v>46419</v>
      </c>
      <c r="B21" s="55" t="n">
        <f aca="false">YEAR(A21)</f>
        <v>2027</v>
      </c>
      <c r="C21" s="55" t="n">
        <f aca="false">MONTH(A21)</f>
        <v>2</v>
      </c>
      <c r="D21" s="55" t="n">
        <f aca="false">ROW()-7</f>
        <v>14</v>
      </c>
      <c r="E21" s="10" t="n">
        <f aca="false">ipi_tot_27/12*INDEX(seas_fg,C21)</f>
        <v>478.730720236605</v>
      </c>
      <c r="F21" s="10" t="n">
        <v>0</v>
      </c>
      <c r="G21" s="10" t="n">
        <f aca="false">IF(C21&lt;$C$3,0,is_tot_27/12*$C$5*MIN(1,(C21-$C$3+1)/$C$4))</f>
        <v>0</v>
      </c>
      <c r="H21" s="10" t="n">
        <f aca="false">INDEX($E$8:$E$31,MAX(1,D21-lag_rec))</f>
        <v>431.269952182526</v>
      </c>
      <c r="I21" s="10" t="n">
        <f aca="false">F21</f>
        <v>0</v>
      </c>
      <c r="J21" s="10" t="n">
        <f aca="false">INDEX($G$8:$G$31,MAX(1,D21-lag_rec))</f>
        <v>0</v>
      </c>
      <c r="K21" s="10" t="n">
        <f aca="false">sh_same*H21+(1-sh_same)*INDEX($H$8:$H$31,MAX(1,D21-1))+(1-frac_imp)*I21+frac_imp*INDEX($I$8:$I$31,MAX(1,D21-1))</f>
        <v>3163.59079257808</v>
      </c>
      <c r="L21" s="10" t="n">
        <f aca="false">sh_same*J21+(1-sh_same)*INDEX($J$8:$J$31,MAX(1,D21-1))</f>
        <v>0</v>
      </c>
      <c r="M21" s="10" t="n">
        <f aca="false">K21+L21</f>
        <v>3163.59079257808</v>
      </c>
      <c r="N21" s="10" t="n">
        <f aca="false">p_reg*M21</f>
        <v>1803.24675176951</v>
      </c>
      <c r="O21" s="10" t="n">
        <f aca="false">IF(OR(C21=7,C21=9,C21=12),ext_each*SUM(H9:J20),0)</f>
        <v>0</v>
      </c>
      <c r="P21" s="10" t="n">
        <f aca="false">N21+O21</f>
        <v>1803.24675176951</v>
      </c>
      <c r="Q21" s="10" t="n">
        <f aca="false">ref_anual*INDEX(IPCA!$D$18:$D$29,C21)/sum_idx27</f>
        <v>5321.45044004558</v>
      </c>
      <c r="R21" s="10" t="n">
        <f aca="false">Q21-P21</f>
        <v>3518.20368827607</v>
      </c>
      <c r="S21" s="10" t="n">
        <f aca="false">MIN(0,T20)</f>
        <v>0</v>
      </c>
      <c r="T21" s="10" t="n">
        <f aca="false">R21+S21</f>
        <v>3518.20368827607</v>
      </c>
      <c r="U21" s="10" t="n">
        <f aca="false">MAX(0,T21)</f>
        <v>3518.20368827607</v>
      </c>
      <c r="V21" s="10" t="n">
        <f aca="false">IF(cap_on=1,MIN(IF(D21-lag_comp&lt;13,0,INDEX($U$8:$U$31,D21-lag_comp)),MAX(0,comp_fundo-SUM($V$20:V20))),IF(D21-lag_comp&lt;13,0,INDEX($U$8:$U$31,D21-lag_comp)))</f>
        <v>0</v>
      </c>
      <c r="W21" s="10" t="n">
        <f aca="false">P21+V21</f>
        <v>1803.24675176951</v>
      </c>
      <c r="X21" s="10" t="n">
        <f aca="false">s_T*p_fpm_reg*M21</f>
        <v>3.84844223830321</v>
      </c>
      <c r="Y21" s="10" t="n">
        <f aca="false">s_T*O21</f>
        <v>0</v>
      </c>
      <c r="Z21" s="10" t="n">
        <f aca="false">s_T*(p_fpm_reg/p_all)*V21</f>
        <v>0</v>
      </c>
      <c r="AA21" s="10" t="n">
        <f aca="false">s_T*(p_fpm_ext/p_all)*V21</f>
        <v>0</v>
      </c>
      <c r="AB21" s="10" t="n">
        <f aca="false">fundeb*(X21+Z21)</f>
        <v>0.769688447660642</v>
      </c>
      <c r="AC21" s="10" t="n">
        <f aca="false">X21+Y21-fundeb*X21</f>
        <v>3.07875379064257</v>
      </c>
      <c r="AD21" s="10" t="n">
        <f aca="false">Z21+AA21-fundeb*Z21</f>
        <v>0</v>
      </c>
      <c r="AE21" s="10" t="n">
        <f aca="false">AC21+AD21</f>
        <v>3.07875379064257</v>
      </c>
      <c r="AF21" s="10" t="n">
        <f aca="false">s_T*Q21*(p_fpm_reg/p_all*(1-fundeb)+p_fpm_ext/p_all)</f>
        <v>10.0697854570036</v>
      </c>
      <c r="AG21" s="10" t="n">
        <f aca="false">AE21-AF21</f>
        <v>-6.99103166636108</v>
      </c>
      <c r="AH21" s="10" t="n">
        <f aca="false">SUM($AG$20:AG21)</f>
        <v>-10.027032774295</v>
      </c>
      <c r="AI21" s="10" t="n">
        <f aca="false">share_ipiis*(orc_cota*INDEX(w_fpm,C21)*(1-fundeb)+IF(OR(C21=7,C21=9,C21=12),orc_extra/3,0))</f>
        <v>5.63680306521097</v>
      </c>
      <c r="AJ21" s="10" t="n">
        <f aca="false">AC21-AI21</f>
        <v>-2.55804927456841</v>
      </c>
      <c r="AK21" s="10" t="n">
        <f aca="false">SUM($AJ$20:AJ21)</f>
        <v>0.296663610337252</v>
      </c>
    </row>
    <row r="22" customFormat="false" ht="15" hidden="false" customHeight="false" outlineLevel="0" collapsed="false">
      <c r="A22" s="54" t="n">
        <v>46447</v>
      </c>
      <c r="B22" s="55" t="n">
        <f aca="false">YEAR(A22)</f>
        <v>2027</v>
      </c>
      <c r="C22" s="55" t="n">
        <f aca="false">MONTH(A22)</f>
        <v>3</v>
      </c>
      <c r="D22" s="55" t="n">
        <f aca="false">ROW()-7</f>
        <v>15</v>
      </c>
      <c r="E22" s="10" t="n">
        <f aca="false">ipi_tot_27/12*INDEX(seas_fg,C22)</f>
        <v>400.7136468813</v>
      </c>
      <c r="F22" s="10" t="n">
        <v>0</v>
      </c>
      <c r="G22" s="10" t="n">
        <f aca="false">IF(C22&lt;$C$3,0,is_tot_27/12*$C$5*MIN(1,(C22-$C$3+1)/$C$4))</f>
        <v>0</v>
      </c>
      <c r="H22" s="10" t="n">
        <f aca="false">INDEX($E$8:$E$31,MAX(1,D22-lag_rec))</f>
        <v>478.730720236605</v>
      </c>
      <c r="I22" s="10" t="n">
        <f aca="false">F22</f>
        <v>0</v>
      </c>
      <c r="J22" s="10" t="n">
        <f aca="false">INDEX($G$8:$G$31,MAX(1,D22-lag_rec))</f>
        <v>0</v>
      </c>
      <c r="K22" s="10" t="n">
        <f aca="false">sh_same*H22+(1-sh_same)*INDEX($H$8:$H$31,MAX(1,D22-1))+(1-frac_imp)*I22+frac_imp*INDEX($I$8:$I$31,MAX(1,D22-1))</f>
        <v>451.203474765239</v>
      </c>
      <c r="L22" s="10" t="n">
        <f aca="false">sh_same*J22+(1-sh_same)*INDEX($J$8:$J$31,MAX(1,D22-1))</f>
        <v>0</v>
      </c>
      <c r="M22" s="10" t="n">
        <f aca="false">K22+L22</f>
        <v>451.203474765239</v>
      </c>
      <c r="N22" s="10" t="n">
        <f aca="false">p_reg*M22</f>
        <v>257.185980616186</v>
      </c>
      <c r="O22" s="10" t="n">
        <f aca="false">IF(OR(C22=7,C22=9,C22=12),ext_each*SUM(H10:J21),0)</f>
        <v>0</v>
      </c>
      <c r="P22" s="10" t="n">
        <f aca="false">N22+O22</f>
        <v>257.185980616186</v>
      </c>
      <c r="Q22" s="10" t="n">
        <f aca="false">ref_anual*INDEX(IPCA!$D$18:$D$29,C22)/sum_idx27</f>
        <v>5340.23849868455</v>
      </c>
      <c r="R22" s="10" t="n">
        <f aca="false">Q22-P22</f>
        <v>5083.05251806836</v>
      </c>
      <c r="S22" s="10" t="n">
        <f aca="false">MIN(0,T21)</f>
        <v>0</v>
      </c>
      <c r="T22" s="10" t="n">
        <f aca="false">R22+S22</f>
        <v>5083.05251806836</v>
      </c>
      <c r="U22" s="10" t="n">
        <f aca="false">MAX(0,T22)</f>
        <v>5083.05251806836</v>
      </c>
      <c r="V22" s="10" t="n">
        <f aca="false">IF(cap_on=1,MIN(IF(D22-lag_comp&lt;13,0,INDEX($U$8:$U$31,D22-lag_comp)),MAX(0,comp_fundo-SUM($V$20:V21))),IF(D22-lag_comp&lt;13,0,INDEX($U$8:$U$31,D22-lag_comp)))</f>
        <v>1203.74396648176</v>
      </c>
      <c r="W22" s="10" t="n">
        <f aca="false">P22+V22</f>
        <v>1460.92994709795</v>
      </c>
      <c r="X22" s="10" t="n">
        <f aca="false">s_T*p_fpm_reg*M22</f>
        <v>0.548879619459464</v>
      </c>
      <c r="Y22" s="10" t="n">
        <f aca="false">s_T*O22</f>
        <v>0</v>
      </c>
      <c r="Z22" s="10" t="n">
        <f aca="false">s_T*(p_fpm_reg/p_all)*V22</f>
        <v>2.44054906193894</v>
      </c>
      <c r="AA22" s="10" t="n">
        <f aca="false">s_T*(p_fpm_ext/p_all)*V22</f>
        <v>0.325406541591859</v>
      </c>
      <c r="AB22" s="10" t="n">
        <f aca="false">fundeb*(X22+Z22)</f>
        <v>0.597885736279681</v>
      </c>
      <c r="AC22" s="10" t="n">
        <f aca="false">X22+Y22-fundeb*X22</f>
        <v>0.439103695567571</v>
      </c>
      <c r="AD22" s="10" t="n">
        <f aca="false">Z22+AA22-fundeb*Z22</f>
        <v>2.27784579114301</v>
      </c>
      <c r="AE22" s="10" t="n">
        <f aca="false">AC22+AD22</f>
        <v>2.71694948671059</v>
      </c>
      <c r="AF22" s="10" t="n">
        <f aca="false">s_T*Q22*(p_fpm_reg/p_all*(1-fundeb)+p_fpm_ext/p_all)</f>
        <v>10.1053381172754</v>
      </c>
      <c r="AG22" s="10" t="n">
        <f aca="false">AE22-AF22</f>
        <v>-7.38838863056484</v>
      </c>
      <c r="AH22" s="10" t="n">
        <f aca="false">SUM($AG$20:AG22)</f>
        <v>-17.4154214048598</v>
      </c>
      <c r="AI22" s="10" t="n">
        <f aca="false">share_ipiis*(orc_cota*INDEX(w_fpm,C22)*(1-fundeb)+IF(OR(C22=7,C22=9,C22=12),orc_extra/3,0))</f>
        <v>3.52212036761722</v>
      </c>
      <c r="AJ22" s="10" t="n">
        <f aca="false">AC22-AI22</f>
        <v>-3.08301667204965</v>
      </c>
      <c r="AK22" s="10" t="n">
        <f aca="false">SUM($AJ$20:AJ22)</f>
        <v>-2.7863530617124</v>
      </c>
    </row>
    <row r="23" customFormat="false" ht="15" hidden="false" customHeight="false" outlineLevel="0" collapsed="false">
      <c r="A23" s="54" t="n">
        <v>46478</v>
      </c>
      <c r="B23" s="55" t="n">
        <f aca="false">YEAR(A23)</f>
        <v>2027</v>
      </c>
      <c r="C23" s="55" t="n">
        <f aca="false">MONTH(A23)</f>
        <v>4</v>
      </c>
      <c r="D23" s="55" t="n">
        <f aca="false">ROW()-7</f>
        <v>16</v>
      </c>
      <c r="E23" s="10" t="n">
        <f aca="false">ipi_tot_27/12*INDEX(seas_fg,C23)</f>
        <v>421.420468464739</v>
      </c>
      <c r="F23" s="10" t="n">
        <v>0</v>
      </c>
      <c r="G23" s="10" t="n">
        <f aca="false">IF(C23&lt;$C$3,0,is_tot_27/12*$C$5*MIN(1,(C23-$C$3+1)/$C$4))</f>
        <v>3499.69583333333</v>
      </c>
      <c r="H23" s="10" t="n">
        <f aca="false">INDEX($E$8:$E$31,MAX(1,D23-lag_rec))</f>
        <v>400.7136468813</v>
      </c>
      <c r="I23" s="10" t="n">
        <f aca="false">F23</f>
        <v>0</v>
      </c>
      <c r="J23" s="10" t="n">
        <f aca="false">INDEX($G$8:$G$31,MAX(1,D23-lag_rec))</f>
        <v>0</v>
      </c>
      <c r="K23" s="10" t="n">
        <f aca="false">sh_same*H23+(1-sh_same)*INDEX($H$8:$H$31,MAX(1,D23-1))+(1-frac_imp)*I23+frac_imp*INDEX($I$8:$I$31,MAX(1,D23-1))</f>
        <v>445.963549427377</v>
      </c>
      <c r="L23" s="10" t="n">
        <f aca="false">sh_same*J23+(1-sh_same)*INDEX($J$8:$J$31,MAX(1,D23-1))</f>
        <v>0</v>
      </c>
      <c r="M23" s="10" t="n">
        <f aca="false">K23+L23</f>
        <v>445.963549427377</v>
      </c>
      <c r="N23" s="10" t="n">
        <f aca="false">p_reg*M23</f>
        <v>254.199223173605</v>
      </c>
      <c r="O23" s="10" t="n">
        <f aca="false">IF(OR(C23=7,C23=9,C23=12),ext_each*SUM(H11:J22),0)</f>
        <v>0</v>
      </c>
      <c r="P23" s="10" t="n">
        <f aca="false">N23+O23</f>
        <v>254.199223173605</v>
      </c>
      <c r="Q23" s="10" t="n">
        <f aca="false">ref_anual*INDEX(IPCA!$D$18:$D$29,C23)/sum_idx27</f>
        <v>5359.09289095782</v>
      </c>
      <c r="R23" s="10" t="n">
        <f aca="false">Q23-P23</f>
        <v>5104.89366778421</v>
      </c>
      <c r="S23" s="10" t="n">
        <f aca="false">MIN(0,T22)</f>
        <v>0</v>
      </c>
      <c r="T23" s="10" t="n">
        <f aca="false">R23+S23</f>
        <v>5104.89366778421</v>
      </c>
      <c r="U23" s="10" t="n">
        <f aca="false">MAX(0,T23)</f>
        <v>5104.89366778421</v>
      </c>
      <c r="V23" s="10" t="n">
        <f aca="false">IF(cap_on=1,MIN(IF(D23-lag_comp&lt;13,0,INDEX($U$8:$U$31,D23-lag_comp)),MAX(0,comp_fundo-SUM($V$20:V22))),IF(D23-lag_comp&lt;13,0,INDEX($U$8:$U$31,D23-lag_comp)))</f>
        <v>3518.20368827607</v>
      </c>
      <c r="W23" s="10" t="n">
        <f aca="false">P23+V23</f>
        <v>3772.40291144968</v>
      </c>
      <c r="X23" s="10" t="n">
        <f aca="false">s_T*p_fpm_reg*M23</f>
        <v>0.542505359538398</v>
      </c>
      <c r="Y23" s="10" t="n">
        <f aca="false">s_T*O23</f>
        <v>0</v>
      </c>
      <c r="Z23" s="10" t="n">
        <f aca="false">s_T*(p_fpm_reg/p_all)*V23</f>
        <v>7.13303572040157</v>
      </c>
      <c r="AA23" s="10" t="n">
        <f aca="false">s_T*(p_fpm_ext/p_all)*V23</f>
        <v>0.951071429386876</v>
      </c>
      <c r="AB23" s="10" t="n">
        <f aca="false">fundeb*(X23+Z23)</f>
        <v>1.53510821598799</v>
      </c>
      <c r="AC23" s="10" t="n">
        <f aca="false">X23+Y23-fundeb*X23</f>
        <v>0.434004287630718</v>
      </c>
      <c r="AD23" s="10" t="n">
        <f aca="false">Z23+AA23-fundeb*Z23</f>
        <v>6.65750000570813</v>
      </c>
      <c r="AE23" s="10" t="n">
        <f aca="false">AC23+AD23</f>
        <v>7.09150429333885</v>
      </c>
      <c r="AF23" s="10" t="n">
        <f aca="false">s_T*Q23*(p_fpm_reg/p_all*(1-fundeb)+p_fpm_ext/p_all)</f>
        <v>10.1410163007431</v>
      </c>
      <c r="AG23" s="10" t="n">
        <f aca="false">AE23-AF23</f>
        <v>-3.04951200740423</v>
      </c>
      <c r="AH23" s="10" t="n">
        <f aca="false">SUM($AG$20:AG23)</f>
        <v>-20.464933412264</v>
      </c>
      <c r="AI23" s="10" t="n">
        <f aca="false">share_ipiis*(orc_cota*INDEX(w_fpm,C23)*(1-fundeb)+IF(OR(C23=7,C23=9,C23=12),orc_extra/3,0))</f>
        <v>3.86288698873413</v>
      </c>
      <c r="AJ23" s="10" t="n">
        <f aca="false">AC23-AI23</f>
        <v>-3.42888270110341</v>
      </c>
      <c r="AK23" s="10" t="n">
        <f aca="false">SUM($AJ$20:AJ23)</f>
        <v>-6.21523576281581</v>
      </c>
    </row>
    <row r="24" customFormat="false" ht="15" hidden="false" customHeight="false" outlineLevel="0" collapsed="false">
      <c r="A24" s="54" t="n">
        <v>46508</v>
      </c>
      <c r="B24" s="55" t="n">
        <f aca="false">YEAR(A24)</f>
        <v>2027</v>
      </c>
      <c r="C24" s="55" t="n">
        <f aca="false">MONTH(A24)</f>
        <v>5</v>
      </c>
      <c r="D24" s="55" t="n">
        <f aca="false">ROW()-7</f>
        <v>17</v>
      </c>
      <c r="E24" s="10" t="n">
        <f aca="false">ipi_tot_27/12*INDEX(seas_fg,C24)</f>
        <v>464.620762166473</v>
      </c>
      <c r="F24" s="10" t="n">
        <v>0</v>
      </c>
      <c r="G24" s="10" t="n">
        <f aca="false">IF(C24&lt;$C$3,0,is_tot_27/12*$C$5*MIN(1,(C24-$C$3+1)/$C$4))</f>
        <v>3499.69583333333</v>
      </c>
      <c r="H24" s="10" t="n">
        <f aca="false">INDEX($E$8:$E$31,MAX(1,D24-lag_rec))</f>
        <v>421.420468464739</v>
      </c>
      <c r="I24" s="10" t="n">
        <f aca="false">F24</f>
        <v>0</v>
      </c>
      <c r="J24" s="10" t="n">
        <f aca="false">INDEX($G$8:$G$31,MAX(1,D24-lag_rec))</f>
        <v>3499.69583333333</v>
      </c>
      <c r="K24" s="10" t="n">
        <f aca="false">sh_same*H24+(1-sh_same)*INDEX($H$8:$H$31,MAX(1,D24-1))+(1-frac_imp)*I24+frac_imp*INDEX($I$8:$I$31,MAX(1,D24-1))</f>
        <v>409.410511946344</v>
      </c>
      <c r="L24" s="10" t="n">
        <f aca="false">sh_same*J24+(1-sh_same)*INDEX($J$8:$J$31,MAX(1,D24-1))</f>
        <v>1469.87225</v>
      </c>
      <c r="M24" s="10" t="n">
        <f aca="false">K24+L24</f>
        <v>1879.28276194634</v>
      </c>
      <c r="N24" s="10" t="n">
        <f aca="false">p_reg*M24</f>
        <v>1071.19117430942</v>
      </c>
      <c r="O24" s="10" t="n">
        <f aca="false">IF(OR(C24=7,C24=9,C24=12),ext_each*SUM(H12:J23),0)</f>
        <v>0</v>
      </c>
      <c r="P24" s="10" t="n">
        <f aca="false">N24+O24</f>
        <v>1071.19117430942</v>
      </c>
      <c r="Q24" s="10" t="n">
        <f aca="false">ref_anual*INDEX(IPCA!$D$18:$D$29,C24)/sum_idx27</f>
        <v>5378.01385106473</v>
      </c>
      <c r="R24" s="10" t="n">
        <f aca="false">Q24-P24</f>
        <v>4306.82267675531</v>
      </c>
      <c r="S24" s="10" t="n">
        <f aca="false">MIN(0,T23)</f>
        <v>0</v>
      </c>
      <c r="T24" s="10" t="n">
        <f aca="false">R24+S24</f>
        <v>4306.82267675531</v>
      </c>
      <c r="U24" s="10" t="n">
        <f aca="false">MAX(0,T24)</f>
        <v>4306.82267675531</v>
      </c>
      <c r="V24" s="10" t="n">
        <f aca="false">IF(cap_on=1,MIN(IF(D24-lag_comp&lt;13,0,INDEX($U$8:$U$31,D24-lag_comp)),MAX(0,comp_fundo-SUM($V$20:V23))),IF(D24-lag_comp&lt;13,0,INDEX($U$8:$U$31,D24-lag_comp)))</f>
        <v>5083.05251806836</v>
      </c>
      <c r="W24" s="10" t="n">
        <f aca="false">P24+V24</f>
        <v>6154.24369237778</v>
      </c>
      <c r="X24" s="10" t="n">
        <f aca="false">s_T*p_fpm_reg*M24</f>
        <v>2.28610829686214</v>
      </c>
      <c r="Y24" s="10" t="n">
        <f aca="false">s_T*O24</f>
        <v>0</v>
      </c>
      <c r="Z24" s="10" t="n">
        <f aca="false">s_T*(p_fpm_reg/p_all)*V24</f>
        <v>10.3057123443086</v>
      </c>
      <c r="AA24" s="10" t="n">
        <f aca="false">s_T*(p_fpm_ext/p_all)*V24</f>
        <v>1.37409497924115</v>
      </c>
      <c r="AB24" s="10" t="n">
        <f aca="false">fundeb*(X24+Z24)</f>
        <v>2.51836412823415</v>
      </c>
      <c r="AC24" s="10" t="n">
        <f aca="false">X24+Y24-fundeb*X24</f>
        <v>1.82888663748971</v>
      </c>
      <c r="AD24" s="10" t="n">
        <f aca="false">Z24+AA24-fundeb*Z24</f>
        <v>9.61866485468803</v>
      </c>
      <c r="AE24" s="10" t="n">
        <f aca="false">AC24+AD24</f>
        <v>11.4475514921777</v>
      </c>
      <c r="AF24" s="10" t="n">
        <f aca="false">s_T*Q24*(p_fpm_reg/p_all*(1-fundeb)+p_fpm_ext/p_all)</f>
        <v>10.1768204505823</v>
      </c>
      <c r="AG24" s="10" t="n">
        <f aca="false">AE24-AF24</f>
        <v>1.27073104159549</v>
      </c>
      <c r="AH24" s="10" t="n">
        <f aca="false">SUM($AG$20:AG24)</f>
        <v>-19.1942023706686</v>
      </c>
      <c r="AI24" s="10" t="n">
        <f aca="false">share_ipiis*(orc_cota*INDEX(w_fpm,C24)*(1-fundeb)+IF(OR(C24=7,C24=9,C24=12),orc_extra/3,0))</f>
        <v>4.49503124163144</v>
      </c>
      <c r="AJ24" s="10" t="n">
        <f aca="false">AC24-AI24</f>
        <v>-2.66614460414172</v>
      </c>
      <c r="AK24" s="10" t="n">
        <f aca="false">SUM($AJ$20:AJ24)</f>
        <v>-8.88138036695754</v>
      </c>
    </row>
    <row r="25" customFormat="false" ht="15" hidden="false" customHeight="false" outlineLevel="0" collapsed="false">
      <c r="A25" s="54" t="n">
        <v>46539</v>
      </c>
      <c r="B25" s="55" t="n">
        <f aca="false">YEAR(A25)</f>
        <v>2027</v>
      </c>
      <c r="C25" s="55" t="n">
        <f aca="false">MONTH(A25)</f>
        <v>6</v>
      </c>
      <c r="D25" s="55" t="n">
        <f aca="false">ROW()-7</f>
        <v>18</v>
      </c>
      <c r="E25" s="10" t="n">
        <f aca="false">ipi_tot_27/12*INDEX(seas_fg,C25)</f>
        <v>459.58149142714</v>
      </c>
      <c r="F25" s="10" t="n">
        <v>0</v>
      </c>
      <c r="G25" s="10" t="n">
        <f aca="false">IF(C25&lt;$C$3,0,is_tot_27/12*$C$5*MIN(1,(C25-$C$3+1)/$C$4))</f>
        <v>3499.69583333333</v>
      </c>
      <c r="H25" s="10" t="n">
        <f aca="false">INDEX($E$8:$E$31,MAX(1,D25-lag_rec))</f>
        <v>464.620762166473</v>
      </c>
      <c r="I25" s="10" t="n">
        <f aca="false">F25</f>
        <v>0</v>
      </c>
      <c r="J25" s="10" t="n">
        <f aca="false">INDEX($G$8:$G$31,MAX(1,D25-lag_rec))</f>
        <v>3499.69583333333</v>
      </c>
      <c r="K25" s="10" t="n">
        <f aca="false">sh_same*H25+(1-sh_same)*INDEX($H$8:$H$31,MAX(1,D25-1))+(1-frac_imp)*I25+frac_imp*INDEX($I$8:$I$31,MAX(1,D25-1))</f>
        <v>439.564591819467</v>
      </c>
      <c r="L25" s="10" t="n">
        <f aca="false">sh_same*J25+(1-sh_same)*INDEX($J$8:$J$31,MAX(1,D25-1))</f>
        <v>3499.69583333333</v>
      </c>
      <c r="M25" s="10" t="n">
        <f aca="false">K25+L25</f>
        <v>3939.2604251528</v>
      </c>
      <c r="N25" s="10" t="n">
        <f aca="false">p_reg*M25</f>
        <v>2245.3784423371</v>
      </c>
      <c r="O25" s="10" t="n">
        <f aca="false">IF(OR(C25=7,C25=9,C25=12),ext_each*SUM(H13:J24),0)</f>
        <v>0</v>
      </c>
      <c r="P25" s="10" t="n">
        <f aca="false">N25+O25</f>
        <v>2245.3784423371</v>
      </c>
      <c r="Q25" s="10" t="n">
        <f aca="false">ref_anual*INDEX(IPCA!$D$18:$D$29,C25)/sum_idx27</f>
        <v>5397.0016140315</v>
      </c>
      <c r="R25" s="10" t="n">
        <f aca="false">Q25-P25</f>
        <v>3151.6231716944</v>
      </c>
      <c r="S25" s="10" t="n">
        <f aca="false">MIN(0,T24)</f>
        <v>0</v>
      </c>
      <c r="T25" s="10" t="n">
        <f aca="false">R25+S25</f>
        <v>3151.6231716944</v>
      </c>
      <c r="U25" s="10" t="n">
        <f aca="false">MAX(0,T25)</f>
        <v>3151.6231716944</v>
      </c>
      <c r="V25" s="10" t="n">
        <f aca="false">IF(cap_on=1,MIN(IF(D25-lag_comp&lt;13,0,INDEX($U$8:$U$31,D25-lag_comp)),MAX(0,comp_fundo-SUM($V$20:V24))),IF(D25-lag_comp&lt;13,0,INDEX($U$8:$U$31,D25-lag_comp)))</f>
        <v>5104.89366778421</v>
      </c>
      <c r="W25" s="10" t="n">
        <f aca="false">P25+V25</f>
        <v>7350.27211012131</v>
      </c>
      <c r="X25" s="10" t="n">
        <f aca="false">s_T*p_fpm_reg*M25</f>
        <v>4.79202817361852</v>
      </c>
      <c r="Y25" s="10" t="n">
        <f aca="false">s_T*O25</f>
        <v>0</v>
      </c>
      <c r="Z25" s="10" t="n">
        <f aca="false">s_T*(p_fpm_reg/p_all)*V25</f>
        <v>10.3499945163775</v>
      </c>
      <c r="AA25" s="10" t="n">
        <f aca="false">s_T*(p_fpm_ext/p_all)*V25</f>
        <v>1.37999926885034</v>
      </c>
      <c r="AB25" s="10" t="n">
        <f aca="false">fundeb*(X25+Z25)</f>
        <v>3.02840453799921</v>
      </c>
      <c r="AC25" s="10" t="n">
        <f aca="false">X25+Y25-fundeb*X25</f>
        <v>3.83362253889481</v>
      </c>
      <c r="AD25" s="10" t="n">
        <f aca="false">Z25+AA25-fundeb*Z25</f>
        <v>9.65999488195236</v>
      </c>
      <c r="AE25" s="10" t="n">
        <f aca="false">AC25+AD25</f>
        <v>13.4936174208472</v>
      </c>
      <c r="AF25" s="10" t="n">
        <f aca="false">s_T*Q25*(p_fpm_reg/p_all*(1-fundeb)+p_fpm_ext/p_all)</f>
        <v>10.2127510115333</v>
      </c>
      <c r="AG25" s="10" t="n">
        <f aca="false">AE25-AF25</f>
        <v>3.28086640931392</v>
      </c>
      <c r="AH25" s="10" t="n">
        <f aca="false">SUM($AG$20:AG25)</f>
        <v>-15.9133359613546</v>
      </c>
      <c r="AI25" s="10" t="n">
        <f aca="false">share_ipiis*(orc_cota*INDEX(w_fpm,C25)*(1-fundeb)+IF(OR(C25=7,C25=9,C25=12),orc_extra/3,0))</f>
        <v>4.46095614118843</v>
      </c>
      <c r="AJ25" s="10" t="n">
        <f aca="false">AC25-AI25</f>
        <v>-0.627333602293612</v>
      </c>
      <c r="AK25" s="10" t="n">
        <f aca="false">SUM($AJ$20:AJ25)</f>
        <v>-9.50871396925115</v>
      </c>
    </row>
    <row r="26" customFormat="false" ht="15" hidden="false" customHeight="false" outlineLevel="0" collapsed="false">
      <c r="A26" s="54" t="n">
        <v>46569</v>
      </c>
      <c r="B26" s="55" t="n">
        <f aca="false">YEAR(A26)</f>
        <v>2027</v>
      </c>
      <c r="C26" s="55" t="n">
        <f aca="false">MONTH(A26)</f>
        <v>7</v>
      </c>
      <c r="D26" s="55" t="n">
        <f aca="false">ROW()-7</f>
        <v>19</v>
      </c>
      <c r="E26" s="10" t="n">
        <f aca="false">ipi_tot_27/12*INDEX(seas_fg,C26)</f>
        <v>442.218913152531</v>
      </c>
      <c r="F26" s="10" t="n">
        <v>0</v>
      </c>
      <c r="G26" s="10" t="n">
        <f aca="false">IF(C26&lt;$C$3,0,is_tot_27/12*$C$5*MIN(1,(C26-$C$3+1)/$C$4))</f>
        <v>3499.69583333333</v>
      </c>
      <c r="H26" s="10" t="n">
        <f aca="false">INDEX($E$8:$E$31,MAX(1,D26-lag_rec))</f>
        <v>459.58149142714</v>
      </c>
      <c r="I26" s="10" t="n">
        <f aca="false">F26</f>
        <v>0</v>
      </c>
      <c r="J26" s="10" t="n">
        <f aca="false">INDEX($G$8:$G$31,MAX(1,D26-lag_rec))</f>
        <v>3499.69583333333</v>
      </c>
      <c r="K26" s="10" t="n">
        <f aca="false">sh_same*H26+(1-sh_same)*INDEX($H$8:$H$31,MAX(1,D26-1))+(1-frac_imp)*I26+frac_imp*INDEX($I$8:$I$31,MAX(1,D26-1))</f>
        <v>462.504268455953</v>
      </c>
      <c r="L26" s="10" t="n">
        <f aca="false">sh_same*J26+(1-sh_same)*INDEX($J$8:$J$31,MAX(1,D26-1))</f>
        <v>3499.69583333333</v>
      </c>
      <c r="M26" s="10" t="n">
        <f aca="false">K26+L26</f>
        <v>3962.20010178929</v>
      </c>
      <c r="N26" s="10" t="n">
        <f aca="false">p_reg*M26</f>
        <v>2258.45405801989</v>
      </c>
      <c r="O26" s="10" t="n">
        <f aca="false">IF(OR(C26=7,C26=9,C26=12),ext_each*SUM(H14:J25),0)</f>
        <v>663.133739407659</v>
      </c>
      <c r="P26" s="10" t="n">
        <f aca="false">N26+O26</f>
        <v>2921.58779742755</v>
      </c>
      <c r="Q26" s="10" t="n">
        <f aca="false">ref_anual*INDEX(IPCA!$D$18:$D$29,C26)/sum_idx27</f>
        <v>5416.05641571413</v>
      </c>
      <c r="R26" s="10" t="n">
        <f aca="false">Q26-P26</f>
        <v>2494.46861828658</v>
      </c>
      <c r="S26" s="10" t="n">
        <f aca="false">MIN(0,T25)</f>
        <v>0</v>
      </c>
      <c r="T26" s="10" t="n">
        <f aca="false">R26+S26</f>
        <v>2494.46861828658</v>
      </c>
      <c r="U26" s="10" t="n">
        <f aca="false">MAX(0,T26)</f>
        <v>2494.46861828658</v>
      </c>
      <c r="V26" s="10" t="n">
        <f aca="false">IF(cap_on=1,MIN(IF(D26-lag_comp&lt;13,0,INDEX($U$8:$U$31,D26-lag_comp)),MAX(0,comp_fundo-SUM($V$20:V25))),IF(D26-lag_comp&lt;13,0,INDEX($U$8:$U$31,D26-lag_comp)))</f>
        <v>4306.82267675531</v>
      </c>
      <c r="W26" s="10" t="n">
        <f aca="false">P26+V26</f>
        <v>7228.41047418286</v>
      </c>
      <c r="X26" s="10" t="n">
        <f aca="false">s_T*p_fpm_reg*M26</f>
        <v>4.81993381195455</v>
      </c>
      <c r="Y26" s="10" t="n">
        <f aca="false">s_T*O26</f>
        <v>3.58528163400422</v>
      </c>
      <c r="Z26" s="10" t="n">
        <f aca="false">s_T*(p_fpm_reg/p_all)*V26</f>
        <v>8.73193331503338</v>
      </c>
      <c r="AA26" s="10" t="n">
        <f aca="false">s_T*(p_fpm_ext/p_all)*V26</f>
        <v>1.16425777533778</v>
      </c>
      <c r="AB26" s="10" t="n">
        <f aca="false">fundeb*(X26+Z26)</f>
        <v>2.71037342539758</v>
      </c>
      <c r="AC26" s="10" t="n">
        <f aca="false">X26+Y26-fundeb*X26</f>
        <v>7.44122868356786</v>
      </c>
      <c r="AD26" s="10" t="n">
        <f aca="false">Z26+AA26-fundeb*Z26</f>
        <v>8.14980442736448</v>
      </c>
      <c r="AE26" s="10" t="n">
        <f aca="false">AC26+AD26</f>
        <v>15.5910331109323</v>
      </c>
      <c r="AF26" s="10" t="n">
        <f aca="false">s_T*Q26*(p_fpm_reg/p_all*(1-fundeb)+p_fpm_ext/p_all)</f>
        <v>10.2488084299066</v>
      </c>
      <c r="AG26" s="10" t="n">
        <f aca="false">AE26-AF26</f>
        <v>5.34222468102571</v>
      </c>
      <c r="AH26" s="10" t="n">
        <f aca="false">SUM($AG$20:AG26)</f>
        <v>-10.5711112803289</v>
      </c>
      <c r="AI26" s="10" t="n">
        <f aca="false">share_ipiis*(orc_cota*INDEX(w_fpm,C26)*(1-fundeb)+IF(OR(C26=7,C26=9,C26=12),orc_extra/3,0))</f>
        <v>5.83963396547176</v>
      </c>
      <c r="AJ26" s="10" t="n">
        <f aca="false">AC26-AI26</f>
        <v>1.6015947180961</v>
      </c>
      <c r="AK26" s="10" t="n">
        <f aca="false">SUM($AJ$20:AJ26)</f>
        <v>-7.90711925115505</v>
      </c>
    </row>
    <row r="27" customFormat="false" ht="15" hidden="false" customHeight="false" outlineLevel="0" collapsed="false">
      <c r="A27" s="54" t="n">
        <v>46600</v>
      </c>
      <c r="B27" s="55" t="n">
        <f aca="false">YEAR(A27)</f>
        <v>2027</v>
      </c>
      <c r="C27" s="55" t="n">
        <f aca="false">MONTH(A27)</f>
        <v>8</v>
      </c>
      <c r="D27" s="55" t="n">
        <f aca="false">ROW()-7</f>
        <v>20</v>
      </c>
      <c r="E27" s="10" t="n">
        <f aca="false">ipi_tot_27/12*INDEX(seas_fg,C27)</f>
        <v>530.222904882149</v>
      </c>
      <c r="F27" s="10" t="n">
        <v>0</v>
      </c>
      <c r="G27" s="10" t="n">
        <f aca="false">IF(C27&lt;$C$3,0,is_tot_27/12*$C$5*MIN(1,(C27-$C$3+1)/$C$4))</f>
        <v>3499.69583333333</v>
      </c>
      <c r="H27" s="10" t="n">
        <f aca="false">INDEX($E$8:$E$31,MAX(1,D27-lag_rec))</f>
        <v>442.218913152531</v>
      </c>
      <c r="I27" s="10" t="n">
        <f aca="false">F27</f>
        <v>0</v>
      </c>
      <c r="J27" s="10" t="n">
        <f aca="false">INDEX($G$8:$G$31,MAX(1,D27-lag_rec))</f>
        <v>3499.69583333333</v>
      </c>
      <c r="K27" s="10" t="n">
        <f aca="false">sh_same*H27+(1-sh_same)*INDEX($H$8:$H$31,MAX(1,D27-1))+(1-frac_imp)*I27+frac_imp*INDEX($I$8:$I$31,MAX(1,D27-1))</f>
        <v>452.289208551804</v>
      </c>
      <c r="L27" s="10" t="n">
        <f aca="false">sh_same*J27+(1-sh_same)*INDEX($J$8:$J$31,MAX(1,D27-1))</f>
        <v>3499.69583333333</v>
      </c>
      <c r="M27" s="10" t="n">
        <f aca="false">K27+L27</f>
        <v>3951.98504188514</v>
      </c>
      <c r="N27" s="10" t="n">
        <f aca="false">p_reg*M27</f>
        <v>2252.63147387453</v>
      </c>
      <c r="O27" s="10" t="n">
        <f aca="false">IF(OR(C27=7,C27=9,C27=12),ext_each*SUM(H15:J26),0)</f>
        <v>0</v>
      </c>
      <c r="P27" s="10" t="n">
        <f aca="false">N27+O27</f>
        <v>2252.63147387453</v>
      </c>
      <c r="Q27" s="10" t="n">
        <f aca="false">ref_anual*INDEX(IPCA!$D$18:$D$29,C27)/sum_idx27</f>
        <v>5435.17849280136</v>
      </c>
      <c r="R27" s="10" t="n">
        <f aca="false">Q27-P27</f>
        <v>3182.54701892683</v>
      </c>
      <c r="S27" s="10" t="n">
        <f aca="false">MIN(0,T26)</f>
        <v>0</v>
      </c>
      <c r="T27" s="10" t="n">
        <f aca="false">R27+S27</f>
        <v>3182.54701892683</v>
      </c>
      <c r="U27" s="10" t="n">
        <f aca="false">MAX(0,T27)</f>
        <v>3182.54701892683</v>
      </c>
      <c r="V27" s="10" t="n">
        <f aca="false">IF(cap_on=1,MIN(IF(D27-lag_comp&lt;13,0,INDEX($U$8:$U$31,D27-lag_comp)),MAX(0,comp_fundo-SUM($V$20:V26))),IF(D27-lag_comp&lt;13,0,INDEX($U$8:$U$31,D27-lag_comp)))</f>
        <v>3151.6231716944</v>
      </c>
      <c r="W27" s="10" t="n">
        <f aca="false">P27+V27</f>
        <v>5404.25464556893</v>
      </c>
      <c r="X27" s="10" t="n">
        <f aca="false">s_T*p_fpm_reg*M27</f>
        <v>4.80750740456515</v>
      </c>
      <c r="Y27" s="10" t="n">
        <f aca="false">s_T*O27</f>
        <v>0</v>
      </c>
      <c r="Z27" s="10" t="n">
        <f aca="false">s_T*(p_fpm_reg/p_all)*V27</f>
        <v>6.38980646170518</v>
      </c>
      <c r="AA27" s="10" t="n">
        <f aca="false">s_T*(p_fpm_ext/p_all)*V27</f>
        <v>0.851974194894024</v>
      </c>
      <c r="AB27" s="10" t="n">
        <f aca="false">fundeb*(X27+Z27)</f>
        <v>2.23946277325407</v>
      </c>
      <c r="AC27" s="10" t="n">
        <f aca="false">X27+Y27-fundeb*X27</f>
        <v>3.84600592365212</v>
      </c>
      <c r="AD27" s="10" t="n">
        <f aca="false">Z27+AA27-fundeb*Z27</f>
        <v>5.96381936425817</v>
      </c>
      <c r="AE27" s="10" t="n">
        <f aca="false">AC27+AD27</f>
        <v>9.80982528791029</v>
      </c>
      <c r="AF27" s="10" t="n">
        <f aca="false">s_T*Q27*(p_fpm_reg/p_all*(1-fundeb)+p_fpm_ext/p_all)</f>
        <v>10.2849931535887</v>
      </c>
      <c r="AG27" s="10" t="n">
        <f aca="false">AE27-AF27</f>
        <v>-0.475167865678371</v>
      </c>
      <c r="AH27" s="10" t="n">
        <f aca="false">SUM($AG$20:AG27)</f>
        <v>-11.0462791460073</v>
      </c>
      <c r="AI27" s="10" t="n">
        <f aca="false">share_ipiis*(orc_cota*INDEX(w_fpm,C27)*(1-fundeb)+IF(OR(C27=7,C27=9,C27=12),orc_extra/3,0))</f>
        <v>3.88648969940325</v>
      </c>
      <c r="AJ27" s="10" t="n">
        <f aca="false">AC27-AI27</f>
        <v>-0.0404837757511323</v>
      </c>
      <c r="AK27" s="10" t="n">
        <f aca="false">SUM($AJ$20:AJ27)</f>
        <v>-7.94760302690618</v>
      </c>
    </row>
    <row r="28" customFormat="false" ht="15" hidden="false" customHeight="false" outlineLevel="0" collapsed="false">
      <c r="A28" s="54" t="n">
        <v>46631</v>
      </c>
      <c r="B28" s="55" t="n">
        <f aca="false">YEAR(A28)</f>
        <v>2027</v>
      </c>
      <c r="C28" s="55" t="n">
        <f aca="false">MONTH(A28)</f>
        <v>9</v>
      </c>
      <c r="D28" s="55" t="n">
        <f aca="false">ROW()-7</f>
        <v>21</v>
      </c>
      <c r="E28" s="10" t="n">
        <f aca="false">ipi_tot_27/12*INDEX(seas_fg,C28)</f>
        <v>471.12600257543</v>
      </c>
      <c r="F28" s="10" t="n">
        <v>0</v>
      </c>
      <c r="G28" s="10" t="n">
        <f aca="false">IF(C28&lt;$C$3,0,is_tot_27/12*$C$5*MIN(1,(C28-$C$3+1)/$C$4))</f>
        <v>3499.69583333333</v>
      </c>
      <c r="H28" s="10" t="n">
        <f aca="false">INDEX($E$8:$E$31,MAX(1,D28-lag_rec))</f>
        <v>530.222904882149</v>
      </c>
      <c r="I28" s="10" t="n">
        <f aca="false">F28</f>
        <v>0</v>
      </c>
      <c r="J28" s="10" t="n">
        <f aca="false">INDEX($G$8:$G$31,MAX(1,D28-lag_rec))</f>
        <v>3499.69583333333</v>
      </c>
      <c r="K28" s="10" t="n">
        <f aca="false">sh_same*H28+(1-sh_same)*INDEX($H$8:$H$31,MAX(1,D28-1))+(1-frac_imp)*I28+frac_imp*INDEX($I$8:$I$31,MAX(1,D28-1))</f>
        <v>479.180589678971</v>
      </c>
      <c r="L28" s="10" t="n">
        <f aca="false">sh_same*J28+(1-sh_same)*INDEX($J$8:$J$31,MAX(1,D28-1))</f>
        <v>3499.69583333333</v>
      </c>
      <c r="M28" s="10" t="n">
        <f aca="false">K28+L28</f>
        <v>3978.8764230123</v>
      </c>
      <c r="N28" s="10" t="n">
        <f aca="false">p_reg*M28</f>
        <v>2267.95956111701</v>
      </c>
      <c r="O28" s="10" t="n">
        <f aca="false">IF(OR(C28=7,C28=9,C28=12),ext_each*SUM(H16:J27),0)</f>
        <v>573.701573391886</v>
      </c>
      <c r="P28" s="10" t="n">
        <f aca="false">N28+O28</f>
        <v>2841.6611345089</v>
      </c>
      <c r="Q28" s="10" t="n">
        <f aca="false">ref_anual*INDEX(IPCA!$D$18:$D$29,C28)/sum_idx27</f>
        <v>5454.36808281756</v>
      </c>
      <c r="R28" s="10" t="n">
        <f aca="false">Q28-P28</f>
        <v>2612.70694830866</v>
      </c>
      <c r="S28" s="10" t="n">
        <f aca="false">MIN(0,T27)</f>
        <v>0</v>
      </c>
      <c r="T28" s="10" t="n">
        <f aca="false">R28+S28</f>
        <v>2612.70694830866</v>
      </c>
      <c r="U28" s="10" t="n">
        <f aca="false">MAX(0,T28)</f>
        <v>2612.70694830866</v>
      </c>
      <c r="V28" s="10" t="n">
        <f aca="false">IF(cap_on=1,MIN(IF(D28-lag_comp&lt;13,0,INDEX($U$8:$U$31,D28-lag_comp)),MAX(0,comp_fundo-SUM($V$20:V27))),IF(D28-lag_comp&lt;13,0,INDEX($U$8:$U$31,D28-lag_comp)))</f>
        <v>2494.46861828658</v>
      </c>
      <c r="W28" s="10" t="n">
        <f aca="false">P28+V28</f>
        <v>5336.12975279548</v>
      </c>
      <c r="X28" s="10" t="n">
        <f aca="false">s_T*p_fpm_reg*M28</f>
        <v>4.84022020902105</v>
      </c>
      <c r="Y28" s="10" t="n">
        <f aca="false">s_T*O28</f>
        <v>3.10176001045967</v>
      </c>
      <c r="Z28" s="10" t="n">
        <f aca="false">s_T*(p_fpm_reg/p_all)*V28</f>
        <v>5.05744844079156</v>
      </c>
      <c r="AA28" s="10" t="n">
        <f aca="false">s_T*(p_fpm_ext/p_all)*V28</f>
        <v>0.674326458772208</v>
      </c>
      <c r="AB28" s="10" t="n">
        <f aca="false">fundeb*(X28+Z28)</f>
        <v>1.97953372996252</v>
      </c>
      <c r="AC28" s="10" t="n">
        <f aca="false">X28+Y28-fundeb*X28</f>
        <v>6.9739361776765</v>
      </c>
      <c r="AD28" s="10" t="n">
        <f aca="false">Z28+AA28-fundeb*Z28</f>
        <v>4.72028521140545</v>
      </c>
      <c r="AE28" s="10" t="n">
        <f aca="false">AC28+AD28</f>
        <v>11.694221389082</v>
      </c>
      <c r="AF28" s="10" t="n">
        <f aca="false">s_T*Q28*(p_fpm_reg/p_all*(1-fundeb)+p_fpm_ext/p_all)</f>
        <v>10.321305632047</v>
      </c>
      <c r="AG28" s="10" t="n">
        <f aca="false">AE28-AF28</f>
        <v>1.37291575703501</v>
      </c>
      <c r="AH28" s="10" t="n">
        <f aca="false">SUM($AG$20:AG28)</f>
        <v>-9.67336338897229</v>
      </c>
      <c r="AI28" s="10" t="n">
        <f aca="false">share_ipiis*(orc_cota*INDEX(w_fpm,C28)*(1-fundeb)+IF(OR(C28=7,C28=9,C28=12),orc_extra/3,0))</f>
        <v>6.46522102319659</v>
      </c>
      <c r="AJ28" s="10" t="n">
        <f aca="false">AC28-AI28</f>
        <v>0.508715154479909</v>
      </c>
      <c r="AK28" s="10" t="n">
        <f aca="false">SUM($AJ$20:AJ28)</f>
        <v>-7.43888787242627</v>
      </c>
    </row>
    <row r="29" customFormat="false" ht="15" hidden="false" customHeight="false" outlineLevel="0" collapsed="false">
      <c r="A29" s="54" t="n">
        <v>46661</v>
      </c>
      <c r="B29" s="55" t="n">
        <f aca="false">YEAR(A29)</f>
        <v>2027</v>
      </c>
      <c r="C29" s="55" t="n">
        <f aca="false">MONTH(A29)</f>
        <v>10</v>
      </c>
      <c r="D29" s="55" t="n">
        <f aca="false">ROW()-7</f>
        <v>22</v>
      </c>
      <c r="E29" s="10" t="n">
        <f aca="false">ipi_tot_27/12*INDEX(seas_fg,C29)</f>
        <v>463.887777331661</v>
      </c>
      <c r="F29" s="10" t="n">
        <v>0</v>
      </c>
      <c r="G29" s="10" t="n">
        <f aca="false">IF(C29&lt;$C$3,0,is_tot_27/12*$C$5*MIN(1,(C29-$C$3+1)/$C$4))</f>
        <v>3499.69583333333</v>
      </c>
      <c r="H29" s="10" t="n">
        <f aca="false">INDEX($E$8:$E$31,MAX(1,D29-lag_rec))</f>
        <v>471.12600257543</v>
      </c>
      <c r="I29" s="10" t="n">
        <f aca="false">F29</f>
        <v>0</v>
      </c>
      <c r="J29" s="10" t="n">
        <f aca="false">INDEX($G$8:$G$31,MAX(1,D29-lag_rec))</f>
        <v>3499.69583333333</v>
      </c>
      <c r="K29" s="10" t="n">
        <f aca="false">sh_same*H29+(1-sh_same)*INDEX($H$8:$H$31,MAX(1,D29-1))+(1-frac_imp)*I29+frac_imp*INDEX($I$8:$I$31,MAX(1,D29-1))</f>
        <v>505.402205913327</v>
      </c>
      <c r="L29" s="10" t="n">
        <f aca="false">sh_same*J29+(1-sh_same)*INDEX($J$8:$J$31,MAX(1,D29-1))</f>
        <v>3499.69583333333</v>
      </c>
      <c r="M29" s="10" t="n">
        <f aca="false">K29+L29</f>
        <v>4005.09803924666</v>
      </c>
      <c r="N29" s="10" t="n">
        <f aca="false">p_reg*M29</f>
        <v>2282.9058823706</v>
      </c>
      <c r="O29" s="10" t="n">
        <f aca="false">IF(OR(C29=7,C29=9,C29=12),ext_each*SUM(H17:J28),0)</f>
        <v>0</v>
      </c>
      <c r="P29" s="10" t="n">
        <f aca="false">N29+O29</f>
        <v>2282.9058823706</v>
      </c>
      <c r="Q29" s="10" t="n">
        <f aca="false">ref_anual*INDEX(IPCA!$D$18:$D$29,C29)/sum_idx27</f>
        <v>5473.62542412574</v>
      </c>
      <c r="R29" s="10" t="n">
        <f aca="false">Q29-P29</f>
        <v>3190.71954175514</v>
      </c>
      <c r="S29" s="10" t="n">
        <f aca="false">MIN(0,T28)</f>
        <v>0</v>
      </c>
      <c r="T29" s="10" t="n">
        <f aca="false">R29+S29</f>
        <v>3190.71954175514</v>
      </c>
      <c r="U29" s="10" t="n">
        <f aca="false">MAX(0,T29)</f>
        <v>3190.71954175514</v>
      </c>
      <c r="V29" s="10" t="n">
        <f aca="false">IF(cap_on=1,MIN(IF(D29-lag_comp&lt;13,0,INDEX($U$8:$U$31,D29-lag_comp)),MAX(0,comp_fundo-SUM($V$20:V28))),IF(D29-lag_comp&lt;13,0,INDEX($U$8:$U$31,D29-lag_comp)))</f>
        <v>3182.54701892683</v>
      </c>
      <c r="W29" s="10" t="n">
        <f aca="false">P29+V29</f>
        <v>5465.45290129743</v>
      </c>
      <c r="X29" s="10" t="n">
        <f aca="false">s_T*p_fpm_reg*M29</f>
        <v>4.87211825844944</v>
      </c>
      <c r="Y29" s="10" t="n">
        <f aca="false">s_T*O29</f>
        <v>0</v>
      </c>
      <c r="Z29" s="10" t="n">
        <f aca="false">s_T*(p_fpm_reg/p_all)*V29</f>
        <v>6.45250348736524</v>
      </c>
      <c r="AA29" s="10" t="n">
        <f aca="false">s_T*(p_fpm_ext/p_all)*V29</f>
        <v>0.860333798315366</v>
      </c>
      <c r="AB29" s="10" t="n">
        <f aca="false">fundeb*(X29+Z29)</f>
        <v>2.26492434916294</v>
      </c>
      <c r="AC29" s="10" t="n">
        <f aca="false">X29+Y29-fundeb*X29</f>
        <v>3.89769460675956</v>
      </c>
      <c r="AD29" s="10" t="n">
        <f aca="false">Z29+AA29-fundeb*Z29</f>
        <v>6.02233658820756</v>
      </c>
      <c r="AE29" s="10" t="n">
        <f aca="false">AC29+AD29</f>
        <v>9.92003119496711</v>
      </c>
      <c r="AF29" s="10" t="n">
        <f aca="false">s_T*Q29*(p_fpm_reg/p_all*(1-fundeb)+p_fpm_ext/p_all)</f>
        <v>10.357746316336</v>
      </c>
      <c r="AG29" s="10" t="n">
        <f aca="false">AE29-AF29</f>
        <v>-0.437715121368907</v>
      </c>
      <c r="AH29" s="10" t="n">
        <f aca="false">SUM($AG$20:AG29)</f>
        <v>-10.1110785103412</v>
      </c>
      <c r="AI29" s="10" t="n">
        <f aca="false">share_ipiis*(orc_cota*INDEX(w_fpm,C29)*(1-fundeb)+IF(OR(C29=7,C29=9,C29=12),orc_extra/3,0))</f>
        <v>3.44784314129058</v>
      </c>
      <c r="AJ29" s="10" t="n">
        <f aca="false">AC29-AI29</f>
        <v>0.449851465468977</v>
      </c>
      <c r="AK29" s="10" t="n">
        <f aca="false">SUM($AJ$20:AJ29)</f>
        <v>-6.98903640695729</v>
      </c>
    </row>
    <row r="30" customFormat="false" ht="15" hidden="false" customHeight="false" outlineLevel="0" collapsed="false">
      <c r="A30" s="54" t="n">
        <v>46692</v>
      </c>
      <c r="B30" s="55" t="n">
        <f aca="false">YEAR(A30)</f>
        <v>2027</v>
      </c>
      <c r="C30" s="55" t="n">
        <f aca="false">MONTH(A30)</f>
        <v>11</v>
      </c>
      <c r="D30" s="55" t="n">
        <f aca="false">ROW()-7</f>
        <v>23</v>
      </c>
      <c r="E30" s="10" t="n">
        <f aca="false">ipi_tot_27/12*INDEX(seas_fg,C30)</f>
        <v>500.399584415735</v>
      </c>
      <c r="F30" s="10" t="n">
        <v>0</v>
      </c>
      <c r="G30" s="10" t="n">
        <f aca="false">IF(C30&lt;$C$3,0,is_tot_27/12*$C$5*MIN(1,(C30-$C$3+1)/$C$4))</f>
        <v>3499.69583333333</v>
      </c>
      <c r="H30" s="10" t="n">
        <f aca="false">INDEX($E$8:$E$31,MAX(1,D30-lag_rec))</f>
        <v>463.887777331661</v>
      </c>
      <c r="I30" s="10" t="n">
        <f aca="false">F30</f>
        <v>0</v>
      </c>
      <c r="J30" s="10" t="n">
        <f aca="false">INDEX($G$8:$G$31,MAX(1,D30-lag_rec))</f>
        <v>3499.69583333333</v>
      </c>
      <c r="K30" s="10" t="n">
        <f aca="false">sh_same*H30+(1-sh_same)*INDEX($H$8:$H$31,MAX(1,D30-1))+(1-frac_imp)*I30+frac_imp*INDEX($I$8:$I$31,MAX(1,D30-1))</f>
        <v>468.085947973047</v>
      </c>
      <c r="L30" s="10" t="n">
        <f aca="false">sh_same*J30+(1-sh_same)*INDEX($J$8:$J$31,MAX(1,D30-1))</f>
        <v>3499.69583333333</v>
      </c>
      <c r="M30" s="10" t="n">
        <f aca="false">K30+L30</f>
        <v>3967.78178130638</v>
      </c>
      <c r="N30" s="10" t="n">
        <f aca="false">p_reg*M30</f>
        <v>2261.63561534464</v>
      </c>
      <c r="O30" s="10" t="n">
        <f aca="false">IF(OR(C30=7,C30=9,C30=12),ext_each*SUM(H18:J29),0)</f>
        <v>0</v>
      </c>
      <c r="P30" s="10" t="n">
        <f aca="false">N30+O30</f>
        <v>2261.63561534464</v>
      </c>
      <c r="Q30" s="10" t="n">
        <f aca="false">ref_anual*INDEX(IPCA!$D$18:$D$29,C30)/sum_idx27</f>
        <v>5492.95075593046</v>
      </c>
      <c r="R30" s="10" t="n">
        <f aca="false">Q30-P30</f>
        <v>3231.31514058582</v>
      </c>
      <c r="S30" s="10" t="n">
        <f aca="false">MIN(0,T29)</f>
        <v>0</v>
      </c>
      <c r="T30" s="10" t="n">
        <f aca="false">R30+S30</f>
        <v>3231.31514058582</v>
      </c>
      <c r="U30" s="10" t="n">
        <f aca="false">MAX(0,T30)</f>
        <v>3231.31514058582</v>
      </c>
      <c r="V30" s="10" t="n">
        <f aca="false">IF(cap_on=1,MIN(IF(D30-lag_comp&lt;13,0,INDEX($U$8:$U$31,D30-lag_comp)),MAX(0,comp_fundo-SUM($V$20:V29))),IF(D30-lag_comp&lt;13,0,INDEX($U$8:$U$31,D30-lag_comp)))</f>
        <v>2612.70694830866</v>
      </c>
      <c r="W30" s="10" t="n">
        <f aca="false">P30+V30</f>
        <v>4874.3425636533</v>
      </c>
      <c r="X30" s="10" t="n">
        <f aca="false">s_T*p_fpm_reg*M30</f>
        <v>4.82672380870907</v>
      </c>
      <c r="Y30" s="10" t="n">
        <f aca="false">s_T*O30</f>
        <v>0</v>
      </c>
      <c r="Z30" s="10" t="n">
        <f aca="false">s_T*(p_fpm_reg/p_all)*V30</f>
        <v>5.29717254612936</v>
      </c>
      <c r="AA30" s="10" t="n">
        <f aca="false">s_T*(p_fpm_ext/p_all)*V30</f>
        <v>0.706289672817248</v>
      </c>
      <c r="AB30" s="10" t="n">
        <f aca="false">fundeb*(X30+Z30)</f>
        <v>2.02477927096769</v>
      </c>
      <c r="AC30" s="10" t="n">
        <f aca="false">X30+Y30-fundeb*X30</f>
        <v>3.86137904696726</v>
      </c>
      <c r="AD30" s="10" t="n">
        <f aca="false">Z30+AA30-fundeb*Z30</f>
        <v>4.94402770972074</v>
      </c>
      <c r="AE30" s="10" t="n">
        <f aca="false">AC30+AD30</f>
        <v>8.805406756688</v>
      </c>
      <c r="AF30" s="10" t="n">
        <f aca="false">s_T*Q30*(p_fpm_reg/p_all*(1-fundeb)+p_fpm_ext/p_all)</f>
        <v>10.3943156591029</v>
      </c>
      <c r="AG30" s="10" t="n">
        <f aca="false">AE30-AF30</f>
        <v>-1.58890890241489</v>
      </c>
      <c r="AH30" s="10" t="n">
        <f aca="false">SUM($AG$20:AG30)</f>
        <v>-11.6999874127561</v>
      </c>
      <c r="AI30" s="10" t="n">
        <f aca="false">share_ipiis*(orc_cota*INDEX(w_fpm,C30)*(1-fundeb)+IF(OR(C30=7,C30=9,C30=12),orc_extra/3,0))</f>
        <v>4.47427905302635</v>
      </c>
      <c r="AJ30" s="10" t="n">
        <f aca="false">AC30-AI30</f>
        <v>-0.612900006059095</v>
      </c>
      <c r="AK30" s="10" t="n">
        <f aca="false">SUM($AJ$20:AJ30)</f>
        <v>-7.60193641301639</v>
      </c>
    </row>
    <row r="31" customFormat="false" ht="15" hidden="false" customHeight="false" outlineLevel="0" collapsed="false">
      <c r="A31" s="54" t="n">
        <v>46722</v>
      </c>
      <c r="B31" s="55" t="n">
        <f aca="false">YEAR(A31)</f>
        <v>2027</v>
      </c>
      <c r="C31" s="55" t="n">
        <f aca="false">MONTH(A31)</f>
        <v>12</v>
      </c>
      <c r="D31" s="55" t="n">
        <f aca="false">ROW()-7</f>
        <v>24</v>
      </c>
      <c r="E31" s="10" t="n">
        <f aca="false">ipi_tot_27/12*INDEX(seas_fg,C31)</f>
        <v>433.194037373907</v>
      </c>
      <c r="F31" s="10" t="n">
        <v>0</v>
      </c>
      <c r="G31" s="10" t="n">
        <f aca="false">IF(C31&lt;$C$3,0,is_tot_27/12*$C$5*MIN(1,(C31-$C$3+1)/$C$4))</f>
        <v>3499.69583333333</v>
      </c>
      <c r="H31" s="10" t="n">
        <f aca="false">INDEX($E$8:$E$31,MAX(1,D31-lag_rec))</f>
        <v>500.399584415735</v>
      </c>
      <c r="I31" s="10" t="n">
        <f aca="false">F31</f>
        <v>0</v>
      </c>
      <c r="J31" s="10" t="n">
        <f aca="false">INDEX($G$8:$G$31,MAX(1,D31-lag_rec))</f>
        <v>3499.69583333333</v>
      </c>
      <c r="K31" s="10" t="n">
        <f aca="false">sh_same*H31+(1-sh_same)*INDEX($H$8:$H$31,MAX(1,D31-1))+(1-frac_imp)*I31+frac_imp*INDEX($I$8:$I$31,MAX(1,D31-1))</f>
        <v>479.222736306972</v>
      </c>
      <c r="L31" s="10" t="n">
        <f aca="false">sh_same*J31+(1-sh_same)*INDEX($J$8:$J$31,MAX(1,D31-1))</f>
        <v>3499.69583333333</v>
      </c>
      <c r="M31" s="10" t="n">
        <f aca="false">K31+L31</f>
        <v>3978.91856964031</v>
      </c>
      <c r="N31" s="10" t="n">
        <f aca="false">p_reg*M31</f>
        <v>2267.98358469497</v>
      </c>
      <c r="O31" s="10" t="n">
        <f aca="false">IF(OR(C31=7,C31=9,C31=12),ext_each*SUM(H19:J30),0)</f>
        <v>428.78814811064</v>
      </c>
      <c r="P31" s="10" t="n">
        <f aca="false">N31+O31</f>
        <v>2696.77173280561</v>
      </c>
      <c r="Q31" s="10" t="n">
        <f aca="false">ref_anual*INDEX(IPCA!$D$18:$D$29,C31)/sum_idx27</f>
        <v>5512.34431828082</v>
      </c>
      <c r="R31" s="10" t="n">
        <f aca="false">Q31-P31</f>
        <v>2815.57258547521</v>
      </c>
      <c r="S31" s="10" t="n">
        <f aca="false">MIN(0,T30)</f>
        <v>0</v>
      </c>
      <c r="T31" s="10" t="n">
        <f aca="false">R31+S31</f>
        <v>2815.57258547521</v>
      </c>
      <c r="U31" s="10" t="n">
        <f aca="false">MAX(0,T31)</f>
        <v>2815.57258547521</v>
      </c>
      <c r="V31" s="10" t="n">
        <f aca="false">IF(cap_on=1,MIN(IF(D31-lag_comp&lt;13,0,INDEX($U$8:$U$31,D31-lag_comp)),MAX(0,comp_fundo-SUM($V$20:V30))),IF(D31-lag_comp&lt;13,0,INDEX($U$8:$U$31,D31-lag_comp)))</f>
        <v>3190.71954175514</v>
      </c>
      <c r="W31" s="10" t="n">
        <f aca="false">P31+V31</f>
        <v>5887.49127456076</v>
      </c>
      <c r="X31" s="10" t="n">
        <f aca="false">s_T*p_fpm_reg*M31</f>
        <v>4.84027147951526</v>
      </c>
      <c r="Y31" s="10" t="n">
        <f aca="false">s_T*O31</f>
        <v>2.31827485308314</v>
      </c>
      <c r="Z31" s="10" t="n">
        <f aca="false">s_T*(p_fpm_reg/p_all)*V31</f>
        <v>6.46907299340448</v>
      </c>
      <c r="AA31" s="10" t="n">
        <f aca="false">s_T*(p_fpm_ext/p_all)*V31</f>
        <v>0.862543065787264</v>
      </c>
      <c r="AB31" s="10" t="n">
        <f aca="false">fundeb*(X31+Z31)</f>
        <v>2.26186889458395</v>
      </c>
      <c r="AC31" s="10" t="n">
        <f aca="false">X31+Y31-fundeb*X31</f>
        <v>6.19049203669534</v>
      </c>
      <c r="AD31" s="10" t="n">
        <f aca="false">Z31+AA31-fundeb*Z31</f>
        <v>6.03780146051085</v>
      </c>
      <c r="AE31" s="10" t="n">
        <f aca="false">AC31+AD31</f>
        <v>12.2282934972062</v>
      </c>
      <c r="AF31" s="10" t="n">
        <f aca="false">s_T*Q31*(p_fpm_reg/p_all*(1-fundeb)+p_fpm_ext/p_all)</f>
        <v>10.4310141145927</v>
      </c>
      <c r="AG31" s="10" t="n">
        <f aca="false">AE31-AF31</f>
        <v>1.7972793826135</v>
      </c>
      <c r="AH31" s="10" t="n">
        <f aca="false">SUM($AG$20:AG31)</f>
        <v>-9.90270803014258</v>
      </c>
      <c r="AI31" s="10" t="n">
        <f aca="false">share_ipiis*(orc_cota*INDEX(w_fpm,C31)*(1-fundeb)+IF(OR(C31=7,C31=9,C31=12),orc_extra/3,0))</f>
        <v>7.61602043178052</v>
      </c>
      <c r="AJ31" s="10" t="n">
        <f aca="false">AC31-AI31</f>
        <v>-1.42552839508518</v>
      </c>
      <c r="AK31" s="10" t="n">
        <f aca="false">SUM($AJ$20:AJ31)</f>
        <v>-9.02746480810157</v>
      </c>
    </row>
    <row r="33" customFormat="false" ht="15" hidden="false" customHeight="false" outlineLevel="0" collapsed="false">
      <c r="A33" s="12" t="s">
        <v>376</v>
      </c>
      <c r="G33" s="56" t="n">
        <f aca="false">SUM(G20:G31)</f>
        <v>31497.2625</v>
      </c>
      <c r="H33" s="56" t="n">
        <f aca="false">SUM(H20:H31)</f>
        <v>10206.3601765808</v>
      </c>
      <c r="I33" s="56" t="n">
        <f aca="false">SUM(I20:I31)</f>
        <v>0</v>
      </c>
      <c r="J33" s="56" t="n">
        <f aca="false">SUM(J20:J31)</f>
        <v>27997.5666666667</v>
      </c>
      <c r="K33" s="56" t="n">
        <f aca="false">SUM(K20:K31)</f>
        <v>14947.6187812477</v>
      </c>
      <c r="L33" s="56" t="n">
        <f aca="false">SUM(L20:L31)</f>
        <v>25967.7430833333</v>
      </c>
      <c r="M33" s="56" t="n">
        <f aca="false">SUM(M20:M31)</f>
        <v>40915.3618645811</v>
      </c>
      <c r="N33" s="56" t="n">
        <f aca="false">SUM(N20:N31)</f>
        <v>23321.7562628112</v>
      </c>
      <c r="O33" s="56" t="n">
        <f aca="false">SUM(O20:O31)</f>
        <v>1665.62346091019</v>
      </c>
      <c r="P33" s="56" t="n">
        <f aca="false">SUM(P20:P31)</f>
        <v>24987.3797237214</v>
      </c>
      <c r="Q33" s="56" t="n">
        <f aca="false">SUM(Q20:Q31)</f>
        <v>64883.0492661198</v>
      </c>
      <c r="R33" s="56" t="n">
        <f aca="false">SUM(R20:R31)</f>
        <v>39895.6695423984</v>
      </c>
      <c r="U33" s="56" t="n">
        <f aca="false">SUM(U20:U31)</f>
        <v>39895.6695423984</v>
      </c>
      <c r="V33" s="56" t="n">
        <f aca="false">SUM(V20:V31)</f>
        <v>33848.7818163373</v>
      </c>
      <c r="W33" s="56" t="n">
        <f aca="false">SUM(W20:W31)</f>
        <v>58836.1615400587</v>
      </c>
      <c r="X33" s="56" t="n">
        <f aca="false">SUM(X20:X31)</f>
        <v>49.772684622968</v>
      </c>
      <c r="Y33" s="56" t="n">
        <f aca="false">SUM(Y20:Y31)</f>
        <v>9.00531649754702</v>
      </c>
      <c r="Z33" s="56" t="n">
        <f aca="false">SUM(Z20:Z31)</f>
        <v>68.6272288874558</v>
      </c>
      <c r="AA33" s="56" t="n">
        <f aca="false">SUM(AA20:AA31)</f>
        <v>9.15029718499411</v>
      </c>
      <c r="AB33" s="56" t="n">
        <f aca="false">SUM(AB20:AB31)</f>
        <v>23.6799827020848</v>
      </c>
      <c r="AC33" s="56" t="n">
        <f aca="false">SUM(AC20:AC31)</f>
        <v>48.8234641959214</v>
      </c>
      <c r="AD33" s="56" t="n">
        <f aca="false">SUM(AD20:AD31)</f>
        <v>64.0520802949588</v>
      </c>
      <c r="AE33" s="56" t="n">
        <f aca="false">SUM(AE20:AE31)</f>
        <v>112.87554449088</v>
      </c>
      <c r="AF33" s="56" t="n">
        <f aca="false">SUM(AF20:AF31)</f>
        <v>122.778252521023</v>
      </c>
      <c r="AG33" s="56" t="n">
        <f aca="false">SUM(AG20:AG31)</f>
        <v>-9.90270803014258</v>
      </c>
      <c r="AI33" s="56" t="n">
        <f aca="false">SUM(AI20:AI31)</f>
        <v>57.850929004023</v>
      </c>
      <c r="AJ33" s="56" t="n">
        <f aca="false">SUM(AJ20:AJ31)</f>
        <v>-9.02746480810157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7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" min="3" style="0" width="7"/>
    <col collapsed="false" customWidth="true" hidden="false" outlineLevel="0" max="4" min="4" style="0" width="6"/>
    <col collapsed="false" customWidth="true" hidden="false" outlineLevel="0" max="37" min="5" style="0" width="15"/>
  </cols>
  <sheetData>
    <row r="1" customFormat="false" ht="24" hidden="false" customHeight="true" outlineLevel="0" collapsed="false">
      <c r="A1" s="1" t="s">
        <v>378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customFormat="false" ht="15" hidden="false" customHeight="false" outlineLevel="0" collapsed="false">
      <c r="A2" s="3" t="s">
        <v>337</v>
      </c>
    </row>
    <row r="3" customFormat="false" ht="15" hidden="false" customHeight="false" outlineLevel="0" collapsed="false">
      <c r="A3" s="12" t="s">
        <v>338</v>
      </c>
      <c r="C3" s="49" t="n">
        <f aca="false">isC_start</f>
        <v>7</v>
      </c>
    </row>
    <row r="4" customFormat="false" ht="15" hidden="false" customHeight="false" outlineLevel="0" collapsed="false">
      <c r="A4" s="12" t="s">
        <v>339</v>
      </c>
      <c r="C4" s="49" t="n">
        <f aca="false">isC_ramp</f>
        <v>1</v>
      </c>
    </row>
    <row r="5" customFormat="false" ht="15" hidden="false" customHeight="false" outlineLevel="0" collapsed="false">
      <c r="A5" s="12" t="s">
        <v>340</v>
      </c>
      <c r="C5" s="50" t="n">
        <f aca="false">isC_real</f>
        <v>1</v>
      </c>
    </row>
    <row r="7" customFormat="false" ht="66" hidden="false" customHeight="true" outlineLevel="0" collapsed="false">
      <c r="A7" s="6" t="s">
        <v>70</v>
      </c>
      <c r="B7" s="6" t="s">
        <v>295</v>
      </c>
      <c r="C7" s="6" t="s">
        <v>341</v>
      </c>
      <c r="D7" s="6" t="s">
        <v>342</v>
      </c>
      <c r="E7" s="6" t="s">
        <v>343</v>
      </c>
      <c r="F7" s="6" t="s">
        <v>344</v>
      </c>
      <c r="G7" s="6" t="s">
        <v>345</v>
      </c>
      <c r="H7" s="6" t="s">
        <v>346</v>
      </c>
      <c r="I7" s="6" t="s">
        <v>347</v>
      </c>
      <c r="J7" s="6" t="s">
        <v>348</v>
      </c>
      <c r="K7" s="6" t="s">
        <v>349</v>
      </c>
      <c r="L7" s="6" t="s">
        <v>350</v>
      </c>
      <c r="M7" s="6" t="s">
        <v>351</v>
      </c>
      <c r="N7" s="6" t="s">
        <v>352</v>
      </c>
      <c r="O7" s="6" t="s">
        <v>353</v>
      </c>
      <c r="P7" s="6" t="s">
        <v>354</v>
      </c>
      <c r="Q7" s="6" t="s">
        <v>355</v>
      </c>
      <c r="R7" s="6" t="s">
        <v>356</v>
      </c>
      <c r="S7" s="6" t="s">
        <v>357</v>
      </c>
      <c r="T7" s="6" t="s">
        <v>358</v>
      </c>
      <c r="U7" s="6" t="s">
        <v>359</v>
      </c>
      <c r="V7" s="6" t="s">
        <v>360</v>
      </c>
      <c r="W7" s="6" t="s">
        <v>361</v>
      </c>
      <c r="X7" s="6" t="s">
        <v>362</v>
      </c>
      <c r="Y7" s="6" t="s">
        <v>363</v>
      </c>
      <c r="Z7" s="6" t="s">
        <v>364</v>
      </c>
      <c r="AA7" s="6" t="s">
        <v>365</v>
      </c>
      <c r="AB7" s="6" t="s">
        <v>366</v>
      </c>
      <c r="AC7" s="6" t="s">
        <v>367</v>
      </c>
      <c r="AD7" s="6" t="s">
        <v>368</v>
      </c>
      <c r="AE7" s="6" t="s">
        <v>369</v>
      </c>
      <c r="AF7" s="6" t="s">
        <v>370</v>
      </c>
      <c r="AG7" s="6" t="s">
        <v>371</v>
      </c>
      <c r="AH7" s="6" t="s">
        <v>372</v>
      </c>
      <c r="AI7" s="6" t="s">
        <v>373</v>
      </c>
      <c r="AJ7" s="6" t="s">
        <v>374</v>
      </c>
      <c r="AK7" s="6" t="s">
        <v>375</v>
      </c>
    </row>
    <row r="8" customFormat="false" ht="15" hidden="false" customHeight="false" outlineLevel="0" collapsed="false">
      <c r="A8" s="51" t="n">
        <v>46023</v>
      </c>
      <c r="B8" s="52" t="n">
        <f aca="false">YEAR(A8)</f>
        <v>2026</v>
      </c>
      <c r="C8" s="52" t="n">
        <f aca="false">MONTH(A8)</f>
        <v>1</v>
      </c>
      <c r="D8" s="52" t="n">
        <f aca="false">ROW()-7</f>
        <v>1</v>
      </c>
      <c r="E8" s="53" t="n">
        <f aca="false">ipi_tot_26*(1-imp_share)/12*INDEX(seas_fg,C8)</f>
        <v>5119.32837439367</v>
      </c>
      <c r="F8" s="53" t="n">
        <f aca="false">ipi_tot_26*imp_share/12*INDEX(seas_fg,C8)</f>
        <v>2722.91346850809</v>
      </c>
      <c r="G8" s="53" t="n">
        <v>0</v>
      </c>
      <c r="H8" s="53" t="n">
        <f aca="false">INDEX($E$8:$E$31,MAX(1,D8-lag_rec))</f>
        <v>5119.32837439367</v>
      </c>
      <c r="I8" s="53" t="n">
        <f aca="false">F8</f>
        <v>2722.91346850809</v>
      </c>
      <c r="J8" s="53" t="n">
        <f aca="false">INDEX($G$8:$G$31,MAX(1,D8-lag_rec))</f>
        <v>0</v>
      </c>
      <c r="K8" s="53" t="n">
        <f aca="false">sh_same*H8+(1-sh_same)*INDEX($H$8:$H$31,MAX(1,D8-1))+(1-frac_imp)*I8+frac_imp*INDEX($I$8:$I$31,MAX(1,D8-1))</f>
        <v>7842.24184290177</v>
      </c>
      <c r="L8" s="53" t="n">
        <f aca="false">sh_same*J8+(1-sh_same)*INDEX($J$8:$J$31,MAX(1,D8-1))</f>
        <v>0</v>
      </c>
      <c r="M8" s="53" t="n">
        <f aca="false">K8+L8</f>
        <v>7842.24184290177</v>
      </c>
      <c r="N8" s="53" t="n">
        <f aca="false">p_reg*M8</f>
        <v>4470.07785045401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</row>
    <row r="9" customFormat="false" ht="15" hidden="false" customHeight="false" outlineLevel="0" collapsed="false">
      <c r="A9" s="51" t="n">
        <v>46054</v>
      </c>
      <c r="B9" s="52" t="n">
        <f aca="false">YEAR(A9)</f>
        <v>2026</v>
      </c>
      <c r="C9" s="52" t="n">
        <f aca="false">MONTH(A9)</f>
        <v>2</v>
      </c>
      <c r="D9" s="52" t="n">
        <f aca="false">ROW()-7</f>
        <v>2</v>
      </c>
      <c r="E9" s="53" t="n">
        <f aca="false">ipi_tot_26*(1-imp_share)/12*INDEX(seas_fg,C9)</f>
        <v>5682.70464334118</v>
      </c>
      <c r="F9" s="53" t="n">
        <f aca="false">ipi_tot_26*imp_share/12*INDEX(seas_fg,C9)</f>
        <v>3022.56700084019</v>
      </c>
      <c r="G9" s="53" t="n">
        <v>0</v>
      </c>
      <c r="H9" s="53" t="n">
        <f aca="false">INDEX($E$8:$E$31,MAX(1,D9-lag_rec))</f>
        <v>5119.32837439367</v>
      </c>
      <c r="I9" s="53" t="n">
        <f aca="false">F9</f>
        <v>3022.56700084019</v>
      </c>
      <c r="J9" s="53" t="n">
        <f aca="false">INDEX($G$8:$G$31,MAX(1,D9-lag_rec))</f>
        <v>0</v>
      </c>
      <c r="K9" s="53" t="n">
        <f aca="false">sh_same*H9+(1-sh_same)*INDEX($H$8:$H$31,MAX(1,D9-1))+(1-frac_imp)*I9+frac_imp*INDEX($I$8:$I$31,MAX(1,D9-1))</f>
        <v>7968.09632648125</v>
      </c>
      <c r="L9" s="53" t="n">
        <f aca="false">sh_same*J9+(1-sh_same)*INDEX($J$8:$J$31,MAX(1,D9-1))</f>
        <v>0</v>
      </c>
      <c r="M9" s="53" t="n">
        <f aca="false">K9+L9</f>
        <v>7968.09632648125</v>
      </c>
      <c r="N9" s="53" t="n">
        <f aca="false">p_reg*M9</f>
        <v>4541.81490609431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</row>
    <row r="10" customFormat="false" ht="15" hidden="false" customHeight="false" outlineLevel="0" collapsed="false">
      <c r="A10" s="51" t="n">
        <v>46082</v>
      </c>
      <c r="B10" s="52" t="n">
        <f aca="false">YEAR(A10)</f>
        <v>2026</v>
      </c>
      <c r="C10" s="52" t="n">
        <f aca="false">MONTH(A10)</f>
        <v>3</v>
      </c>
      <c r="D10" s="52" t="n">
        <f aca="false">ROW()-7</f>
        <v>3</v>
      </c>
      <c r="E10" s="53" t="n">
        <f aca="false">ipi_tot_26*(1-imp_share)/12*INDEX(seas_fg,C10)</f>
        <v>4756.61411629716</v>
      </c>
      <c r="F10" s="53" t="n">
        <f aca="false">ipi_tot_26*imp_share/12*INDEX(seas_fg,C10)</f>
        <v>2529.9898140047</v>
      </c>
      <c r="G10" s="53" t="n">
        <v>0</v>
      </c>
      <c r="H10" s="53" t="n">
        <f aca="false">INDEX($E$8:$E$31,MAX(1,D10-lag_rec))</f>
        <v>5682.70464334118</v>
      </c>
      <c r="I10" s="53" t="n">
        <f aca="false">F10</f>
        <v>2529.9898140047</v>
      </c>
      <c r="J10" s="53" t="n">
        <f aca="false">INDEX($G$8:$G$31,MAX(1,D10-lag_rec))</f>
        <v>0</v>
      </c>
      <c r="K10" s="53" t="n">
        <f aca="false">sh_same*H10+(1-sh_same)*INDEX($H$8:$H$31,MAX(1,D10-1))+(1-frac_imp)*I10+frac_imp*INDEX($I$8:$I$31,MAX(1,D10-1))</f>
        <v>8171.63098972091</v>
      </c>
      <c r="L10" s="53" t="n">
        <f aca="false">sh_same*J10+(1-sh_same)*INDEX($J$8:$J$31,MAX(1,D10-1))</f>
        <v>0</v>
      </c>
      <c r="M10" s="53" t="n">
        <f aca="false">K10+L10</f>
        <v>8171.63098972091</v>
      </c>
      <c r="N10" s="53" t="n">
        <f aca="false">p_reg*M10</f>
        <v>4657.82966414092</v>
      </c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customFormat="false" ht="15" hidden="false" customHeight="false" outlineLevel="0" collapsed="false">
      <c r="A11" s="51" t="n">
        <v>46113</v>
      </c>
      <c r="B11" s="52" t="n">
        <f aca="false">YEAR(A11)</f>
        <v>2026</v>
      </c>
      <c r="C11" s="52" t="n">
        <f aca="false">MONTH(A11)</f>
        <v>4</v>
      </c>
      <c r="D11" s="52" t="n">
        <f aca="false">ROW()-7</f>
        <v>4</v>
      </c>
      <c r="E11" s="53" t="n">
        <f aca="false">ipi_tot_26*(1-imp_share)/12*INDEX(seas_fg,C11)</f>
        <v>5002.41148460244</v>
      </c>
      <c r="F11" s="53" t="n">
        <f aca="false">ipi_tot_26*imp_share/12*INDEX(seas_fg,C11)</f>
        <v>2660.72668332334</v>
      </c>
      <c r="G11" s="53" t="n">
        <v>0</v>
      </c>
      <c r="H11" s="53" t="n">
        <f aca="false">INDEX($E$8:$E$31,MAX(1,D11-lag_rec))</f>
        <v>4756.61411629716</v>
      </c>
      <c r="I11" s="53" t="n">
        <f aca="false">F11</f>
        <v>2660.72668332334</v>
      </c>
      <c r="J11" s="53" t="n">
        <f aca="false">INDEX($G$8:$G$31,MAX(1,D11-lag_rec))</f>
        <v>0</v>
      </c>
      <c r="K11" s="53" t="n">
        <f aca="false">sh_same*H11+(1-sh_same)*INDEX($H$8:$H$31,MAX(1,D11-1))+(1-frac_imp)*I11+frac_imp*INDEX($I$8:$I$31,MAX(1,D11-1))</f>
        <v>7878.64592110122</v>
      </c>
      <c r="L11" s="53" t="n">
        <f aca="false">sh_same*J11+(1-sh_same)*INDEX($J$8:$J$31,MAX(1,D11-1))</f>
        <v>0</v>
      </c>
      <c r="M11" s="53" t="n">
        <f aca="false">K11+L11</f>
        <v>7878.64592110122</v>
      </c>
      <c r="N11" s="53" t="n">
        <f aca="false">p_reg*M11</f>
        <v>4490.8281750277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</row>
    <row r="12" customFormat="false" ht="15" hidden="false" customHeight="false" outlineLevel="0" collapsed="false">
      <c r="A12" s="51" t="n">
        <v>46143</v>
      </c>
      <c r="B12" s="52" t="n">
        <f aca="false">YEAR(A12)</f>
        <v>2026</v>
      </c>
      <c r="C12" s="52" t="n">
        <f aca="false">MONTH(A12)</f>
        <v>5</v>
      </c>
      <c r="D12" s="52" t="n">
        <f aca="false">ROW()-7</f>
        <v>5</v>
      </c>
      <c r="E12" s="53" t="n">
        <f aca="false">ipi_tot_26*(1-imp_share)/12*INDEX(seas_fg,C12)</f>
        <v>5515.21440122165</v>
      </c>
      <c r="F12" s="53" t="n">
        <f aca="false">ipi_tot_26*imp_share/12*INDEX(seas_fg,C12)</f>
        <v>2933.48081555227</v>
      </c>
      <c r="G12" s="53" t="n">
        <v>0</v>
      </c>
      <c r="H12" s="53" t="n">
        <f aca="false">INDEX($E$8:$E$31,MAX(1,D12-lag_rec))</f>
        <v>5002.41148460244</v>
      </c>
      <c r="I12" s="53" t="n">
        <f aca="false">F12</f>
        <v>2933.48081555227</v>
      </c>
      <c r="J12" s="53" t="n">
        <f aca="false">INDEX($G$8:$G$31,MAX(1,D12-lag_rec))</f>
        <v>0</v>
      </c>
      <c r="K12" s="53" t="n">
        <f aca="false">sh_same*H12+(1-sh_same)*INDEX($H$8:$H$31,MAX(1,D12-1))+(1-frac_imp)*I12+frac_imp*INDEX($I$8:$I$31,MAX(1,D12-1))</f>
        <v>7635.13242984487</v>
      </c>
      <c r="L12" s="53" t="n">
        <f aca="false">sh_same*J12+(1-sh_same)*INDEX($J$8:$J$31,MAX(1,D12-1))</f>
        <v>0</v>
      </c>
      <c r="M12" s="53" t="n">
        <f aca="false">K12+L12</f>
        <v>7635.13242984487</v>
      </c>
      <c r="N12" s="53" t="n">
        <f aca="false">p_reg*M12</f>
        <v>4352.02548501158</v>
      </c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</row>
    <row r="13" customFormat="false" ht="15" hidden="false" customHeight="false" outlineLevel="0" collapsed="false">
      <c r="A13" s="51" t="n">
        <v>46174</v>
      </c>
      <c r="B13" s="52" t="n">
        <f aca="false">YEAR(A13)</f>
        <v>2026</v>
      </c>
      <c r="C13" s="52" t="n">
        <f aca="false">MONTH(A13)</f>
        <v>6</v>
      </c>
      <c r="D13" s="52" t="n">
        <f aca="false">ROW()-7</f>
        <v>6</v>
      </c>
      <c r="E13" s="53" t="n">
        <f aca="false">ipi_tot_26*(1-imp_share)/12*INDEX(seas_fg,C13)</f>
        <v>5455.39645760753</v>
      </c>
      <c r="F13" s="53" t="n">
        <f aca="false">ipi_tot_26*imp_share/12*INDEX(seas_fg,C13)</f>
        <v>2901.66432080659</v>
      </c>
      <c r="G13" s="53" t="n">
        <v>0</v>
      </c>
      <c r="H13" s="53" t="n">
        <f aca="false">INDEX($E$8:$E$31,MAX(1,D13-lag_rec))</f>
        <v>5515.21440122165</v>
      </c>
      <c r="I13" s="53" t="n">
        <f aca="false">F13</f>
        <v>2901.66432080659</v>
      </c>
      <c r="J13" s="53" t="n">
        <f aca="false">INDEX($G$8:$G$31,MAX(1,D13-lag_rec))</f>
        <v>0</v>
      </c>
      <c r="K13" s="53" t="n">
        <f aca="false">sh_same*H13+(1-sh_same)*INDEX($H$8:$H$31,MAX(1,D13-1))+(1-frac_imp)*I13+frac_imp*INDEX($I$8:$I$31,MAX(1,D13-1))</f>
        <v>8137.90659734159</v>
      </c>
      <c r="L13" s="53" t="n">
        <f aca="false">sh_same*J13+(1-sh_same)*INDEX($J$8:$J$31,MAX(1,D13-1))</f>
        <v>0</v>
      </c>
      <c r="M13" s="53" t="n">
        <f aca="false">K13+L13</f>
        <v>8137.90659734159</v>
      </c>
      <c r="N13" s="53" t="n">
        <f aca="false">p_reg*M13</f>
        <v>4638.60676048471</v>
      </c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</row>
    <row r="14" customFormat="false" ht="15" hidden="false" customHeight="false" outlineLevel="0" collapsed="false">
      <c r="A14" s="51" t="n">
        <v>46204</v>
      </c>
      <c r="B14" s="52" t="n">
        <f aca="false">YEAR(A14)</f>
        <v>2026</v>
      </c>
      <c r="C14" s="52" t="n">
        <f aca="false">MONTH(A14)</f>
        <v>7</v>
      </c>
      <c r="D14" s="52" t="n">
        <f aca="false">ROW()-7</f>
        <v>7</v>
      </c>
      <c r="E14" s="53" t="n">
        <f aca="false">ipi_tot_26*(1-imp_share)/12*INDEX(seas_fg,C14)</f>
        <v>5249.29645188253</v>
      </c>
      <c r="F14" s="53" t="n">
        <f aca="false">ipi_tot_26*imp_share/12*INDEX(seas_fg,C14)</f>
        <v>2792.04203436463</v>
      </c>
      <c r="G14" s="53" t="n">
        <v>0</v>
      </c>
      <c r="H14" s="53" t="n">
        <f aca="false">INDEX($E$8:$E$31,MAX(1,D14-lag_rec))</f>
        <v>5455.39645760753</v>
      </c>
      <c r="I14" s="53" t="n">
        <f aca="false">F14</f>
        <v>2792.04203436463</v>
      </c>
      <c r="J14" s="53" t="n">
        <f aca="false">INDEX($G$8:$G$31,MAX(1,D14-lag_rec))</f>
        <v>0</v>
      </c>
      <c r="K14" s="53" t="n">
        <f aca="false">sh_same*H14+(1-sh_same)*INDEX($H$8:$H$31,MAX(1,D14-1))+(1-frac_imp)*I14+frac_imp*INDEX($I$8:$I$31,MAX(1,D14-1))</f>
        <v>8345.71382540469</v>
      </c>
      <c r="L14" s="53" t="n">
        <f aca="false">sh_same*J14+(1-sh_same)*INDEX($J$8:$J$31,MAX(1,D14-1))</f>
        <v>0</v>
      </c>
      <c r="M14" s="53" t="n">
        <f aca="false">K14+L14</f>
        <v>8345.71382540469</v>
      </c>
      <c r="N14" s="53" t="n">
        <f aca="false">p_reg*M14</f>
        <v>4757.05688048067</v>
      </c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</row>
    <row r="15" customFormat="false" ht="15" hidden="false" customHeight="false" outlineLevel="0" collapsed="false">
      <c r="A15" s="51" t="n">
        <v>46235</v>
      </c>
      <c r="B15" s="52" t="n">
        <f aca="false">YEAR(A15)</f>
        <v>2026</v>
      </c>
      <c r="C15" s="52" t="n">
        <f aca="false">MONTH(A15)</f>
        <v>8</v>
      </c>
      <c r="D15" s="52" t="n">
        <f aca="false">ROW()-7</f>
        <v>8</v>
      </c>
      <c r="E15" s="53" t="n">
        <f aca="false">ipi_tot_26*(1-imp_share)/12*INDEX(seas_fg,C15)</f>
        <v>6293.93526717998</v>
      </c>
      <c r="F15" s="53" t="n">
        <f aca="false">ipi_tot_26*imp_share/12*INDEX(seas_fg,C15)</f>
        <v>3347.67372896884</v>
      </c>
      <c r="G15" s="53" t="n">
        <v>0</v>
      </c>
      <c r="H15" s="53" t="n">
        <f aca="false">INDEX($E$8:$E$31,MAX(1,D15-lag_rec))</f>
        <v>5249.29645188253</v>
      </c>
      <c r="I15" s="53" t="n">
        <f aca="false">F15</f>
        <v>3347.67372896884</v>
      </c>
      <c r="J15" s="53" t="n">
        <f aca="false">INDEX($G$8:$G$31,MAX(1,D15-lag_rec))</f>
        <v>0</v>
      </c>
      <c r="K15" s="53" t="n">
        <f aca="false">sh_same*H15+(1-sh_same)*INDEX($H$8:$H$31,MAX(1,D15-1))+(1-frac_imp)*I15+frac_imp*INDEX($I$8:$I$31,MAX(1,D15-1))</f>
        <v>8394.24180130143</v>
      </c>
      <c r="L15" s="53" t="n">
        <f aca="false">sh_same*J15+(1-sh_same)*INDEX($J$8:$J$31,MAX(1,D15-1))</f>
        <v>0</v>
      </c>
      <c r="M15" s="53" t="n">
        <f aca="false">K15+L15</f>
        <v>8394.24180130143</v>
      </c>
      <c r="N15" s="53" t="n">
        <f aca="false">p_reg*M15</f>
        <v>4784.71782674182</v>
      </c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</row>
    <row r="16" customFormat="false" ht="15" hidden="false" customHeight="false" outlineLevel="0" collapsed="false">
      <c r="A16" s="51" t="n">
        <v>46266</v>
      </c>
      <c r="B16" s="52" t="n">
        <f aca="false">YEAR(A16)</f>
        <v>2026</v>
      </c>
      <c r="C16" s="52" t="n">
        <f aca="false">MONTH(A16)</f>
        <v>9</v>
      </c>
      <c r="D16" s="52" t="n">
        <f aca="false">ROW()-7</f>
        <v>9</v>
      </c>
      <c r="E16" s="53" t="n">
        <f aca="false">ipi_tot_26*(1-imp_share)/12*INDEX(seas_fg,C16)</f>
        <v>5592.4339284326</v>
      </c>
      <c r="F16" s="53" t="n">
        <f aca="false">ipi_tot_26*imp_share/12*INDEX(seas_fg,C16)</f>
        <v>2974.55301786034</v>
      </c>
      <c r="G16" s="53" t="n">
        <v>0</v>
      </c>
      <c r="H16" s="53" t="n">
        <f aca="false">INDEX($E$8:$E$31,MAX(1,D16-lag_rec))</f>
        <v>6293.93526717998</v>
      </c>
      <c r="I16" s="53" t="n">
        <f aca="false">F16</f>
        <v>2974.55301786034</v>
      </c>
      <c r="J16" s="53" t="n">
        <f aca="false">INDEX($G$8:$G$31,MAX(1,D16-lag_rec))</f>
        <v>0</v>
      </c>
      <c r="K16" s="53" t="n">
        <f aca="false">sh_same*H16+(1-sh_same)*INDEX($H$8:$H$31,MAX(1,D16-1))+(1-frac_imp)*I16+frac_imp*INDEX($I$8:$I$31,MAX(1,D16-1))</f>
        <v>8879.00778461073</v>
      </c>
      <c r="L16" s="53" t="n">
        <f aca="false">sh_same*J16+(1-sh_same)*INDEX($J$8:$J$31,MAX(1,D16-1))</f>
        <v>0</v>
      </c>
      <c r="M16" s="53" t="n">
        <f aca="false">K16+L16</f>
        <v>8879.00778461073</v>
      </c>
      <c r="N16" s="53" t="n">
        <f aca="false">p_reg*M16</f>
        <v>5061.03443722811</v>
      </c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customFormat="false" ht="15" hidden="false" customHeight="false" outlineLevel="0" collapsed="false">
      <c r="A17" s="51" t="n">
        <v>46296</v>
      </c>
      <c r="B17" s="52" t="n">
        <f aca="false">YEAR(A17)</f>
        <v>2026</v>
      </c>
      <c r="C17" s="52" t="n">
        <f aca="false">MONTH(A17)</f>
        <v>10</v>
      </c>
      <c r="D17" s="52" t="n">
        <f aca="false">ROW()-7</f>
        <v>10</v>
      </c>
      <c r="E17" s="53" t="n">
        <f aca="false">ipi_tot_26*(1-imp_share)/12*INDEX(seas_fg,C17)</f>
        <v>5506.51360942323</v>
      </c>
      <c r="F17" s="53" t="n">
        <f aca="false">ipi_tot_26*imp_share/12*INDEX(seas_fg,C17)</f>
        <v>2928.85296177108</v>
      </c>
      <c r="G17" s="53" t="n">
        <v>0</v>
      </c>
      <c r="H17" s="53" t="n">
        <f aca="false">INDEX($E$8:$E$31,MAX(1,D17-lag_rec))</f>
        <v>5592.4339284326</v>
      </c>
      <c r="I17" s="53" t="n">
        <f aca="false">F17</f>
        <v>2928.85296177108</v>
      </c>
      <c r="J17" s="53" t="n">
        <f aca="false">INDEX($G$8:$G$31,MAX(1,D17-lag_rec))</f>
        <v>0</v>
      </c>
      <c r="K17" s="53" t="n">
        <f aca="false">sh_same*H17+(1-sh_same)*INDEX($H$8:$H$31,MAX(1,D17-1))+(1-frac_imp)*I17+frac_imp*INDEX($I$8:$I$31,MAX(1,D17-1))</f>
        <v>8954.66369920893</v>
      </c>
      <c r="L17" s="53" t="n">
        <f aca="false">sh_same*J17+(1-sh_same)*INDEX($J$8:$J$31,MAX(1,D17-1))</f>
        <v>0</v>
      </c>
      <c r="M17" s="53" t="n">
        <f aca="false">K17+L17</f>
        <v>8954.66369920893</v>
      </c>
      <c r="N17" s="53" t="n">
        <f aca="false">p_reg*M17</f>
        <v>5104.15830854909</v>
      </c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</row>
    <row r="18" customFormat="false" ht="15" hidden="false" customHeight="false" outlineLevel="0" collapsed="false">
      <c r="A18" s="51" t="n">
        <v>46327</v>
      </c>
      <c r="B18" s="52" t="n">
        <f aca="false">YEAR(A18)</f>
        <v>2026</v>
      </c>
      <c r="C18" s="52" t="n">
        <f aca="false">MONTH(A18)</f>
        <v>11</v>
      </c>
      <c r="D18" s="52" t="n">
        <f aca="false">ROW()-7</f>
        <v>11</v>
      </c>
      <c r="E18" s="53" t="n">
        <f aca="false">ipi_tot_26*(1-imp_share)/12*INDEX(seas_fg,C18)</f>
        <v>5939.92180088189</v>
      </c>
      <c r="F18" s="53" t="n">
        <f aca="false">ipi_tot_26*imp_share/12*INDEX(seas_fg,C18)</f>
        <v>3159.37792824664</v>
      </c>
      <c r="G18" s="53" t="n">
        <v>0</v>
      </c>
      <c r="H18" s="53" t="n">
        <f aca="false">INDEX($E$8:$E$31,MAX(1,D18-lag_rec))</f>
        <v>5506.51360942323</v>
      </c>
      <c r="I18" s="53" t="n">
        <f aca="false">F18</f>
        <v>3159.37792824664</v>
      </c>
      <c r="J18" s="53" t="n">
        <f aca="false">INDEX($G$8:$G$31,MAX(1,D18-lag_rec))</f>
        <v>0</v>
      </c>
      <c r="K18" s="53" t="n">
        <f aca="false">sh_same*H18+(1-sh_same)*INDEX($H$8:$H$31,MAX(1,D18-1))+(1-frac_imp)*I18+frac_imp*INDEX($I$8:$I$31,MAX(1,D18-1))</f>
        <v>8582.02084213948</v>
      </c>
      <c r="L18" s="53" t="n">
        <f aca="false">sh_same*J18+(1-sh_same)*INDEX($J$8:$J$31,MAX(1,D18-1))</f>
        <v>0</v>
      </c>
      <c r="M18" s="53" t="n">
        <f aca="false">K18+L18</f>
        <v>8582.02084213948</v>
      </c>
      <c r="N18" s="53" t="n">
        <f aca="false">p_reg*M18</f>
        <v>4891.75188001951</v>
      </c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</row>
    <row r="19" customFormat="false" ht="15" hidden="false" customHeight="false" outlineLevel="0" collapsed="false">
      <c r="A19" s="51" t="n">
        <v>46357</v>
      </c>
      <c r="B19" s="52" t="n">
        <f aca="false">YEAR(A19)</f>
        <v>2026</v>
      </c>
      <c r="C19" s="52" t="n">
        <f aca="false">MONTH(A19)</f>
        <v>12</v>
      </c>
      <c r="D19" s="52" t="n">
        <f aca="false">ROW()-7</f>
        <v>12</v>
      </c>
      <c r="E19" s="53" t="n">
        <f aca="false">ipi_tot_26*(1-imp_share)/12*INDEX(seas_fg,C19)</f>
        <v>5142.16795286452</v>
      </c>
      <c r="F19" s="53" t="n">
        <f aca="false">ipi_tot_26*imp_share/12*INDEX(seas_fg,C19)</f>
        <v>2735.06158468372</v>
      </c>
      <c r="G19" s="53" t="n">
        <v>0</v>
      </c>
      <c r="H19" s="53" t="n">
        <f aca="false">INDEX($E$8:$E$31,MAX(1,D19-lag_rec))</f>
        <v>5939.92180088189</v>
      </c>
      <c r="I19" s="53" t="n">
        <f aca="false">F19</f>
        <v>2735.06158468372</v>
      </c>
      <c r="J19" s="53" t="n">
        <f aca="false">INDEX($G$8:$G$31,MAX(1,D19-lag_rec))</f>
        <v>0</v>
      </c>
      <c r="K19" s="53" t="n">
        <f aca="false">sh_same*H19+(1-sh_same)*INDEX($H$8:$H$31,MAX(1,D19-1))+(1-frac_imp)*I19+frac_imp*INDEX($I$8:$I$31,MAX(1,D19-1))</f>
        <v>8669.71011378608</v>
      </c>
      <c r="L19" s="53" t="n">
        <f aca="false">sh_same*J19+(1-sh_same)*INDEX($J$8:$J$31,MAX(1,D19-1))</f>
        <v>0</v>
      </c>
      <c r="M19" s="53" t="n">
        <f aca="false">K19+L19</f>
        <v>8669.71011378608</v>
      </c>
      <c r="N19" s="53" t="n">
        <f aca="false">p_reg*M19</f>
        <v>4941.73476485807</v>
      </c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</row>
    <row r="20" customFormat="false" ht="15" hidden="false" customHeight="false" outlineLevel="0" collapsed="false">
      <c r="A20" s="54" t="n">
        <v>46388</v>
      </c>
      <c r="B20" s="55" t="n">
        <f aca="false">YEAR(A20)</f>
        <v>2027</v>
      </c>
      <c r="C20" s="55" t="n">
        <f aca="false">MONTH(A20)</f>
        <v>1</v>
      </c>
      <c r="D20" s="55" t="n">
        <f aca="false">ROW()-7</f>
        <v>13</v>
      </c>
      <c r="E20" s="10" t="n">
        <f aca="false">ipi_tot_27/12*INDEX(seas_fg,C20)</f>
        <v>431.269952182526</v>
      </c>
      <c r="F20" s="10" t="n">
        <v>0</v>
      </c>
      <c r="G20" s="10" t="n">
        <f aca="false">IF(C20&lt;$C$3,0,is_tot_27/12*$C$5*MIN(1,(C20-$C$3+1)/$C$4))</f>
        <v>0</v>
      </c>
      <c r="H20" s="10" t="n">
        <f aca="false">INDEX($E$8:$E$31,MAX(1,D20-lag_rec))</f>
        <v>5142.16795286452</v>
      </c>
      <c r="I20" s="10" t="n">
        <f aca="false">F20</f>
        <v>0</v>
      </c>
      <c r="J20" s="10" t="n">
        <f aca="false">INDEX($G$8:$G$31,MAX(1,D20-lag_rec))</f>
        <v>0</v>
      </c>
      <c r="K20" s="10" t="n">
        <f aca="false">sh_same*H20+(1-sh_same)*INDEX($H$8:$H$31,MAX(1,D20-1))+(1-frac_imp)*I20+frac_imp*INDEX($I$8:$I$31,MAX(1,D20-1))</f>
        <v>7191.20090383115</v>
      </c>
      <c r="L20" s="10" t="n">
        <f aca="false">sh_same*J20+(1-sh_same)*INDEX($J$8:$J$31,MAX(1,D20-1))</f>
        <v>0</v>
      </c>
      <c r="M20" s="10" t="n">
        <f aca="false">K20+L20</f>
        <v>7191.20090383115</v>
      </c>
      <c r="N20" s="10" t="n">
        <f aca="false">p_reg*M20</f>
        <v>4098.98451518375</v>
      </c>
      <c r="O20" s="10" t="n">
        <f aca="false">IF(OR(C20=7,C20=9,C20=12),ext_each*SUM(H8:J19),0)</f>
        <v>0</v>
      </c>
      <c r="P20" s="10" t="n">
        <f aca="false">N20+O20</f>
        <v>4098.98451518375</v>
      </c>
      <c r="Q20" s="10" t="n">
        <f aca="false">ref_anual*INDEX(IPCA!$D$18:$D$29,C20)/sum_idx27</f>
        <v>5302.72848166552</v>
      </c>
      <c r="R20" s="10" t="n">
        <f aca="false">Q20-P20</f>
        <v>1203.74396648176</v>
      </c>
      <c r="S20" s="10" t="n">
        <v>0</v>
      </c>
      <c r="T20" s="10" t="n">
        <f aca="false">R20+S20</f>
        <v>1203.74396648176</v>
      </c>
      <c r="U20" s="10" t="n">
        <f aca="false">MAX(0,T20)</f>
        <v>1203.74396648176</v>
      </c>
      <c r="V20" s="10" t="n">
        <f aca="false">IF(cap_on=1,MIN(IF(D20-lag_comp&lt;13,0,INDEX($U$8:$U$31,D20-lag_comp)),MAX(0,comp_fundo-0)),IF(D20-lag_comp&lt;13,0,INDEX($U$8:$U$31,D20-lag_comp)))</f>
        <v>0</v>
      </c>
      <c r="W20" s="10" t="n">
        <f aca="false">P20+V20</f>
        <v>4098.98451518375</v>
      </c>
      <c r="X20" s="10" t="n">
        <f aca="false">s_T*p_fpm_reg*M20</f>
        <v>8.74794596297175</v>
      </c>
      <c r="Y20" s="10" t="n">
        <f aca="false">s_T*O20</f>
        <v>0</v>
      </c>
      <c r="Z20" s="10" t="n">
        <f aca="false">s_T*(p_fpm_reg/p_all)*V20</f>
        <v>0</v>
      </c>
      <c r="AA20" s="10" t="n">
        <f aca="false">s_T*(p_fpm_ext/p_all)*V20</f>
        <v>0</v>
      </c>
      <c r="AB20" s="10" t="n">
        <f aca="false">fundeb*(X20+Z20)</f>
        <v>1.74958919259435</v>
      </c>
      <c r="AC20" s="10" t="n">
        <f aca="false">X20+Y20-fundeb*X20</f>
        <v>6.9983567703774</v>
      </c>
      <c r="AD20" s="10" t="n">
        <f aca="false">Z20+AA20-fundeb*Z20</f>
        <v>0</v>
      </c>
      <c r="AE20" s="10" t="n">
        <f aca="false">AC20+AD20</f>
        <v>6.9983567703774</v>
      </c>
      <c r="AF20" s="10" t="n">
        <f aca="false">s_T*Q20*(p_fpm_reg/p_all*(1-fundeb)+p_fpm_ext/p_all)</f>
        <v>10.0343578783113</v>
      </c>
      <c r="AG20" s="10" t="n">
        <f aca="false">AE20-AF20</f>
        <v>-3.0360011079339</v>
      </c>
      <c r="AH20" s="10" t="n">
        <f aca="false">SUM($AG$20:AG20)</f>
        <v>-3.0360011079339</v>
      </c>
      <c r="AI20" s="10" t="n">
        <f aca="false">share_ipiis*(orc_cota*INDEX(w_fpm,C20)*(1-fundeb)+IF(OR(C20=7,C20=9,C20=12),orc_extra/3,0))</f>
        <v>4.14364388547174</v>
      </c>
      <c r="AJ20" s="10" t="n">
        <f aca="false">AC20-AI20</f>
        <v>2.85471288490566</v>
      </c>
      <c r="AK20" s="10" t="n">
        <f aca="false">SUM($AJ$20:AJ20)</f>
        <v>2.85471288490566</v>
      </c>
    </row>
    <row r="21" customFormat="false" ht="15" hidden="false" customHeight="false" outlineLevel="0" collapsed="false">
      <c r="A21" s="54" t="n">
        <v>46419</v>
      </c>
      <c r="B21" s="55" t="n">
        <f aca="false">YEAR(A21)</f>
        <v>2027</v>
      </c>
      <c r="C21" s="55" t="n">
        <f aca="false">MONTH(A21)</f>
        <v>2</v>
      </c>
      <c r="D21" s="55" t="n">
        <f aca="false">ROW()-7</f>
        <v>14</v>
      </c>
      <c r="E21" s="10" t="n">
        <f aca="false">ipi_tot_27/12*INDEX(seas_fg,C21)</f>
        <v>478.730720236605</v>
      </c>
      <c r="F21" s="10" t="n">
        <v>0</v>
      </c>
      <c r="G21" s="10" t="n">
        <f aca="false">IF(C21&lt;$C$3,0,is_tot_27/12*$C$5*MIN(1,(C21-$C$3+1)/$C$4))</f>
        <v>0</v>
      </c>
      <c r="H21" s="10" t="n">
        <f aca="false">INDEX($E$8:$E$31,MAX(1,D21-lag_rec))</f>
        <v>431.269952182526</v>
      </c>
      <c r="I21" s="10" t="n">
        <f aca="false">F21</f>
        <v>0</v>
      </c>
      <c r="J21" s="10" t="n">
        <f aca="false">INDEX($G$8:$G$31,MAX(1,D21-lag_rec))</f>
        <v>0</v>
      </c>
      <c r="K21" s="10" t="n">
        <f aca="false">sh_same*H21+(1-sh_same)*INDEX($H$8:$H$31,MAX(1,D21-1))+(1-frac_imp)*I21+frac_imp*INDEX($I$8:$I$31,MAX(1,D21-1))</f>
        <v>3163.59079257808</v>
      </c>
      <c r="L21" s="10" t="n">
        <f aca="false">sh_same*J21+(1-sh_same)*INDEX($J$8:$J$31,MAX(1,D21-1))</f>
        <v>0</v>
      </c>
      <c r="M21" s="10" t="n">
        <f aca="false">K21+L21</f>
        <v>3163.59079257808</v>
      </c>
      <c r="N21" s="10" t="n">
        <f aca="false">p_reg*M21</f>
        <v>1803.24675176951</v>
      </c>
      <c r="O21" s="10" t="n">
        <f aca="false">IF(OR(C21=7,C21=9,C21=12),ext_each*SUM(H9:J20),0)</f>
        <v>0</v>
      </c>
      <c r="P21" s="10" t="n">
        <f aca="false">N21+O21</f>
        <v>1803.24675176951</v>
      </c>
      <c r="Q21" s="10" t="n">
        <f aca="false">ref_anual*INDEX(IPCA!$D$18:$D$29,C21)/sum_idx27</f>
        <v>5321.45044004558</v>
      </c>
      <c r="R21" s="10" t="n">
        <f aca="false">Q21-P21</f>
        <v>3518.20368827607</v>
      </c>
      <c r="S21" s="10" t="n">
        <f aca="false">MIN(0,T20)</f>
        <v>0</v>
      </c>
      <c r="T21" s="10" t="n">
        <f aca="false">R21+S21</f>
        <v>3518.20368827607</v>
      </c>
      <c r="U21" s="10" t="n">
        <f aca="false">MAX(0,T21)</f>
        <v>3518.20368827607</v>
      </c>
      <c r="V21" s="10" t="n">
        <f aca="false">IF(cap_on=1,MIN(IF(D21-lag_comp&lt;13,0,INDEX($U$8:$U$31,D21-lag_comp)),MAX(0,comp_fundo-SUM($V$20:V20))),IF(D21-lag_comp&lt;13,0,INDEX($U$8:$U$31,D21-lag_comp)))</f>
        <v>0</v>
      </c>
      <c r="W21" s="10" t="n">
        <f aca="false">P21+V21</f>
        <v>1803.24675176951</v>
      </c>
      <c r="X21" s="10" t="n">
        <f aca="false">s_T*p_fpm_reg*M21</f>
        <v>3.84844223830321</v>
      </c>
      <c r="Y21" s="10" t="n">
        <f aca="false">s_T*O21</f>
        <v>0</v>
      </c>
      <c r="Z21" s="10" t="n">
        <f aca="false">s_T*(p_fpm_reg/p_all)*V21</f>
        <v>0</v>
      </c>
      <c r="AA21" s="10" t="n">
        <f aca="false">s_T*(p_fpm_ext/p_all)*V21</f>
        <v>0</v>
      </c>
      <c r="AB21" s="10" t="n">
        <f aca="false">fundeb*(X21+Z21)</f>
        <v>0.769688447660642</v>
      </c>
      <c r="AC21" s="10" t="n">
        <f aca="false">X21+Y21-fundeb*X21</f>
        <v>3.07875379064257</v>
      </c>
      <c r="AD21" s="10" t="n">
        <f aca="false">Z21+AA21-fundeb*Z21</f>
        <v>0</v>
      </c>
      <c r="AE21" s="10" t="n">
        <f aca="false">AC21+AD21</f>
        <v>3.07875379064257</v>
      </c>
      <c r="AF21" s="10" t="n">
        <f aca="false">s_T*Q21*(p_fpm_reg/p_all*(1-fundeb)+p_fpm_ext/p_all)</f>
        <v>10.0697854570036</v>
      </c>
      <c r="AG21" s="10" t="n">
        <f aca="false">AE21-AF21</f>
        <v>-6.99103166636108</v>
      </c>
      <c r="AH21" s="10" t="n">
        <f aca="false">SUM($AG$20:AG21)</f>
        <v>-10.027032774295</v>
      </c>
      <c r="AI21" s="10" t="n">
        <f aca="false">share_ipiis*(orc_cota*INDEX(w_fpm,C21)*(1-fundeb)+IF(OR(C21=7,C21=9,C21=12),orc_extra/3,0))</f>
        <v>5.63680306521097</v>
      </c>
      <c r="AJ21" s="10" t="n">
        <f aca="false">AC21-AI21</f>
        <v>-2.55804927456841</v>
      </c>
      <c r="AK21" s="10" t="n">
        <f aca="false">SUM($AJ$20:AJ21)</f>
        <v>0.296663610337252</v>
      </c>
    </row>
    <row r="22" customFormat="false" ht="15" hidden="false" customHeight="false" outlineLevel="0" collapsed="false">
      <c r="A22" s="54" t="n">
        <v>46447</v>
      </c>
      <c r="B22" s="55" t="n">
        <f aca="false">YEAR(A22)</f>
        <v>2027</v>
      </c>
      <c r="C22" s="55" t="n">
        <f aca="false">MONTH(A22)</f>
        <v>3</v>
      </c>
      <c r="D22" s="55" t="n">
        <f aca="false">ROW()-7</f>
        <v>15</v>
      </c>
      <c r="E22" s="10" t="n">
        <f aca="false">ipi_tot_27/12*INDEX(seas_fg,C22)</f>
        <v>400.7136468813</v>
      </c>
      <c r="F22" s="10" t="n">
        <v>0</v>
      </c>
      <c r="G22" s="10" t="n">
        <f aca="false">IF(C22&lt;$C$3,0,is_tot_27/12*$C$5*MIN(1,(C22-$C$3+1)/$C$4))</f>
        <v>0</v>
      </c>
      <c r="H22" s="10" t="n">
        <f aca="false">INDEX($E$8:$E$31,MAX(1,D22-lag_rec))</f>
        <v>478.730720236605</v>
      </c>
      <c r="I22" s="10" t="n">
        <f aca="false">F22</f>
        <v>0</v>
      </c>
      <c r="J22" s="10" t="n">
        <f aca="false">INDEX($G$8:$G$31,MAX(1,D22-lag_rec))</f>
        <v>0</v>
      </c>
      <c r="K22" s="10" t="n">
        <f aca="false">sh_same*H22+(1-sh_same)*INDEX($H$8:$H$31,MAX(1,D22-1))+(1-frac_imp)*I22+frac_imp*INDEX($I$8:$I$31,MAX(1,D22-1))</f>
        <v>451.203474765239</v>
      </c>
      <c r="L22" s="10" t="n">
        <f aca="false">sh_same*J22+(1-sh_same)*INDEX($J$8:$J$31,MAX(1,D22-1))</f>
        <v>0</v>
      </c>
      <c r="M22" s="10" t="n">
        <f aca="false">K22+L22</f>
        <v>451.203474765239</v>
      </c>
      <c r="N22" s="10" t="n">
        <f aca="false">p_reg*M22</f>
        <v>257.185980616186</v>
      </c>
      <c r="O22" s="10" t="n">
        <f aca="false">IF(OR(C22=7,C22=9,C22=12),ext_each*SUM(H10:J21),0)</f>
        <v>0</v>
      </c>
      <c r="P22" s="10" t="n">
        <f aca="false">N22+O22</f>
        <v>257.185980616186</v>
      </c>
      <c r="Q22" s="10" t="n">
        <f aca="false">ref_anual*INDEX(IPCA!$D$18:$D$29,C22)/sum_idx27</f>
        <v>5340.23849868455</v>
      </c>
      <c r="R22" s="10" t="n">
        <f aca="false">Q22-P22</f>
        <v>5083.05251806836</v>
      </c>
      <c r="S22" s="10" t="n">
        <f aca="false">MIN(0,T21)</f>
        <v>0</v>
      </c>
      <c r="T22" s="10" t="n">
        <f aca="false">R22+S22</f>
        <v>5083.05251806836</v>
      </c>
      <c r="U22" s="10" t="n">
        <f aca="false">MAX(0,T22)</f>
        <v>5083.05251806836</v>
      </c>
      <c r="V22" s="10" t="n">
        <f aca="false">IF(cap_on=1,MIN(IF(D22-lag_comp&lt;13,0,INDEX($U$8:$U$31,D22-lag_comp)),MAX(0,comp_fundo-SUM($V$20:V21))),IF(D22-lag_comp&lt;13,0,INDEX($U$8:$U$31,D22-lag_comp)))</f>
        <v>1203.74396648176</v>
      </c>
      <c r="W22" s="10" t="n">
        <f aca="false">P22+V22</f>
        <v>1460.92994709795</v>
      </c>
      <c r="X22" s="10" t="n">
        <f aca="false">s_T*p_fpm_reg*M22</f>
        <v>0.548879619459464</v>
      </c>
      <c r="Y22" s="10" t="n">
        <f aca="false">s_T*O22</f>
        <v>0</v>
      </c>
      <c r="Z22" s="10" t="n">
        <f aca="false">s_T*(p_fpm_reg/p_all)*V22</f>
        <v>2.44054906193894</v>
      </c>
      <c r="AA22" s="10" t="n">
        <f aca="false">s_T*(p_fpm_ext/p_all)*V22</f>
        <v>0.325406541591859</v>
      </c>
      <c r="AB22" s="10" t="n">
        <f aca="false">fundeb*(X22+Z22)</f>
        <v>0.597885736279681</v>
      </c>
      <c r="AC22" s="10" t="n">
        <f aca="false">X22+Y22-fundeb*X22</f>
        <v>0.439103695567571</v>
      </c>
      <c r="AD22" s="10" t="n">
        <f aca="false">Z22+AA22-fundeb*Z22</f>
        <v>2.27784579114301</v>
      </c>
      <c r="AE22" s="10" t="n">
        <f aca="false">AC22+AD22</f>
        <v>2.71694948671059</v>
      </c>
      <c r="AF22" s="10" t="n">
        <f aca="false">s_T*Q22*(p_fpm_reg/p_all*(1-fundeb)+p_fpm_ext/p_all)</f>
        <v>10.1053381172754</v>
      </c>
      <c r="AG22" s="10" t="n">
        <f aca="false">AE22-AF22</f>
        <v>-7.38838863056484</v>
      </c>
      <c r="AH22" s="10" t="n">
        <f aca="false">SUM($AG$20:AG22)</f>
        <v>-17.4154214048598</v>
      </c>
      <c r="AI22" s="10" t="n">
        <f aca="false">share_ipiis*(orc_cota*INDEX(w_fpm,C22)*(1-fundeb)+IF(OR(C22=7,C22=9,C22=12),orc_extra/3,0))</f>
        <v>3.52212036761722</v>
      </c>
      <c r="AJ22" s="10" t="n">
        <f aca="false">AC22-AI22</f>
        <v>-3.08301667204965</v>
      </c>
      <c r="AK22" s="10" t="n">
        <f aca="false">SUM($AJ$20:AJ22)</f>
        <v>-2.7863530617124</v>
      </c>
    </row>
    <row r="23" customFormat="false" ht="15" hidden="false" customHeight="false" outlineLevel="0" collapsed="false">
      <c r="A23" s="54" t="n">
        <v>46478</v>
      </c>
      <c r="B23" s="55" t="n">
        <f aca="false">YEAR(A23)</f>
        <v>2027</v>
      </c>
      <c r="C23" s="55" t="n">
        <f aca="false">MONTH(A23)</f>
        <v>4</v>
      </c>
      <c r="D23" s="55" t="n">
        <f aca="false">ROW()-7</f>
        <v>16</v>
      </c>
      <c r="E23" s="10" t="n">
        <f aca="false">ipi_tot_27/12*INDEX(seas_fg,C23)</f>
        <v>421.420468464739</v>
      </c>
      <c r="F23" s="10" t="n">
        <v>0</v>
      </c>
      <c r="G23" s="10" t="n">
        <f aca="false">IF(C23&lt;$C$3,0,is_tot_27/12*$C$5*MIN(1,(C23-$C$3+1)/$C$4))</f>
        <v>0</v>
      </c>
      <c r="H23" s="10" t="n">
        <f aca="false">INDEX($E$8:$E$31,MAX(1,D23-lag_rec))</f>
        <v>400.7136468813</v>
      </c>
      <c r="I23" s="10" t="n">
        <f aca="false">F23</f>
        <v>0</v>
      </c>
      <c r="J23" s="10" t="n">
        <f aca="false">INDEX($G$8:$G$31,MAX(1,D23-lag_rec))</f>
        <v>0</v>
      </c>
      <c r="K23" s="10" t="n">
        <f aca="false">sh_same*H23+(1-sh_same)*INDEX($H$8:$H$31,MAX(1,D23-1))+(1-frac_imp)*I23+frac_imp*INDEX($I$8:$I$31,MAX(1,D23-1))</f>
        <v>445.963549427377</v>
      </c>
      <c r="L23" s="10" t="n">
        <f aca="false">sh_same*J23+(1-sh_same)*INDEX($J$8:$J$31,MAX(1,D23-1))</f>
        <v>0</v>
      </c>
      <c r="M23" s="10" t="n">
        <f aca="false">K23+L23</f>
        <v>445.963549427377</v>
      </c>
      <c r="N23" s="10" t="n">
        <f aca="false">p_reg*M23</f>
        <v>254.199223173605</v>
      </c>
      <c r="O23" s="10" t="n">
        <f aca="false">IF(OR(C23=7,C23=9,C23=12),ext_each*SUM(H11:J22),0)</f>
        <v>0</v>
      </c>
      <c r="P23" s="10" t="n">
        <f aca="false">N23+O23</f>
        <v>254.199223173605</v>
      </c>
      <c r="Q23" s="10" t="n">
        <f aca="false">ref_anual*INDEX(IPCA!$D$18:$D$29,C23)/sum_idx27</f>
        <v>5359.09289095782</v>
      </c>
      <c r="R23" s="10" t="n">
        <f aca="false">Q23-P23</f>
        <v>5104.89366778421</v>
      </c>
      <c r="S23" s="10" t="n">
        <f aca="false">MIN(0,T22)</f>
        <v>0</v>
      </c>
      <c r="T23" s="10" t="n">
        <f aca="false">R23+S23</f>
        <v>5104.89366778421</v>
      </c>
      <c r="U23" s="10" t="n">
        <f aca="false">MAX(0,T23)</f>
        <v>5104.89366778421</v>
      </c>
      <c r="V23" s="10" t="n">
        <f aca="false">IF(cap_on=1,MIN(IF(D23-lag_comp&lt;13,0,INDEX($U$8:$U$31,D23-lag_comp)),MAX(0,comp_fundo-SUM($V$20:V22))),IF(D23-lag_comp&lt;13,0,INDEX($U$8:$U$31,D23-lag_comp)))</f>
        <v>3518.20368827607</v>
      </c>
      <c r="W23" s="10" t="n">
        <f aca="false">P23+V23</f>
        <v>3772.40291144968</v>
      </c>
      <c r="X23" s="10" t="n">
        <f aca="false">s_T*p_fpm_reg*M23</f>
        <v>0.542505359538398</v>
      </c>
      <c r="Y23" s="10" t="n">
        <f aca="false">s_T*O23</f>
        <v>0</v>
      </c>
      <c r="Z23" s="10" t="n">
        <f aca="false">s_T*(p_fpm_reg/p_all)*V23</f>
        <v>7.13303572040157</v>
      </c>
      <c r="AA23" s="10" t="n">
        <f aca="false">s_T*(p_fpm_ext/p_all)*V23</f>
        <v>0.951071429386876</v>
      </c>
      <c r="AB23" s="10" t="n">
        <f aca="false">fundeb*(X23+Z23)</f>
        <v>1.53510821598799</v>
      </c>
      <c r="AC23" s="10" t="n">
        <f aca="false">X23+Y23-fundeb*X23</f>
        <v>0.434004287630718</v>
      </c>
      <c r="AD23" s="10" t="n">
        <f aca="false">Z23+AA23-fundeb*Z23</f>
        <v>6.65750000570813</v>
      </c>
      <c r="AE23" s="10" t="n">
        <f aca="false">AC23+AD23</f>
        <v>7.09150429333885</v>
      </c>
      <c r="AF23" s="10" t="n">
        <f aca="false">s_T*Q23*(p_fpm_reg/p_all*(1-fundeb)+p_fpm_ext/p_all)</f>
        <v>10.1410163007431</v>
      </c>
      <c r="AG23" s="10" t="n">
        <f aca="false">AE23-AF23</f>
        <v>-3.04951200740423</v>
      </c>
      <c r="AH23" s="10" t="n">
        <f aca="false">SUM($AG$20:AG23)</f>
        <v>-20.464933412264</v>
      </c>
      <c r="AI23" s="10" t="n">
        <f aca="false">share_ipiis*(orc_cota*INDEX(w_fpm,C23)*(1-fundeb)+IF(OR(C23=7,C23=9,C23=12),orc_extra/3,0))</f>
        <v>3.86288698873413</v>
      </c>
      <c r="AJ23" s="10" t="n">
        <f aca="false">AC23-AI23</f>
        <v>-3.42888270110341</v>
      </c>
      <c r="AK23" s="10" t="n">
        <f aca="false">SUM($AJ$20:AJ23)</f>
        <v>-6.21523576281581</v>
      </c>
    </row>
    <row r="24" customFormat="false" ht="15" hidden="false" customHeight="false" outlineLevel="0" collapsed="false">
      <c r="A24" s="54" t="n">
        <v>46508</v>
      </c>
      <c r="B24" s="55" t="n">
        <f aca="false">YEAR(A24)</f>
        <v>2027</v>
      </c>
      <c r="C24" s="55" t="n">
        <f aca="false">MONTH(A24)</f>
        <v>5</v>
      </c>
      <c r="D24" s="55" t="n">
        <f aca="false">ROW()-7</f>
        <v>17</v>
      </c>
      <c r="E24" s="10" t="n">
        <f aca="false">ipi_tot_27/12*INDEX(seas_fg,C24)</f>
        <v>464.620762166473</v>
      </c>
      <c r="F24" s="10" t="n">
        <v>0</v>
      </c>
      <c r="G24" s="10" t="n">
        <f aca="false">IF(C24&lt;$C$3,0,is_tot_27/12*$C$5*MIN(1,(C24-$C$3+1)/$C$4))</f>
        <v>0</v>
      </c>
      <c r="H24" s="10" t="n">
        <f aca="false">INDEX($E$8:$E$31,MAX(1,D24-lag_rec))</f>
        <v>421.420468464739</v>
      </c>
      <c r="I24" s="10" t="n">
        <f aca="false">F24</f>
        <v>0</v>
      </c>
      <c r="J24" s="10" t="n">
        <f aca="false">INDEX($G$8:$G$31,MAX(1,D24-lag_rec))</f>
        <v>0</v>
      </c>
      <c r="K24" s="10" t="n">
        <f aca="false">sh_same*H24+(1-sh_same)*INDEX($H$8:$H$31,MAX(1,D24-1))+(1-frac_imp)*I24+frac_imp*INDEX($I$8:$I$31,MAX(1,D24-1))</f>
        <v>409.410511946344</v>
      </c>
      <c r="L24" s="10" t="n">
        <f aca="false">sh_same*J24+(1-sh_same)*INDEX($J$8:$J$31,MAX(1,D24-1))</f>
        <v>0</v>
      </c>
      <c r="M24" s="10" t="n">
        <f aca="false">K24+L24</f>
        <v>409.410511946344</v>
      </c>
      <c r="N24" s="10" t="n">
        <f aca="false">p_reg*M24</f>
        <v>233.363991809416</v>
      </c>
      <c r="O24" s="10" t="n">
        <f aca="false">IF(OR(C24=7,C24=9,C24=12),ext_each*SUM(H12:J23),0)</f>
        <v>0</v>
      </c>
      <c r="P24" s="10" t="n">
        <f aca="false">N24+O24</f>
        <v>233.363991809416</v>
      </c>
      <c r="Q24" s="10" t="n">
        <f aca="false">ref_anual*INDEX(IPCA!$D$18:$D$29,C24)/sum_idx27</f>
        <v>5378.01385106473</v>
      </c>
      <c r="R24" s="10" t="n">
        <f aca="false">Q24-P24</f>
        <v>5144.64985925531</v>
      </c>
      <c r="S24" s="10" t="n">
        <f aca="false">MIN(0,T23)</f>
        <v>0</v>
      </c>
      <c r="T24" s="10" t="n">
        <f aca="false">R24+S24</f>
        <v>5144.64985925531</v>
      </c>
      <c r="U24" s="10" t="n">
        <f aca="false">MAX(0,T24)</f>
        <v>5144.64985925531</v>
      </c>
      <c r="V24" s="10" t="n">
        <f aca="false">IF(cap_on=1,MIN(IF(D24-lag_comp&lt;13,0,INDEX($U$8:$U$31,D24-lag_comp)),MAX(0,comp_fundo-SUM($V$20:V23))),IF(D24-lag_comp&lt;13,0,INDEX($U$8:$U$31,D24-lag_comp)))</f>
        <v>5083.05251806836</v>
      </c>
      <c r="W24" s="10" t="n">
        <f aca="false">P24+V24</f>
        <v>5316.41650987778</v>
      </c>
      <c r="X24" s="10" t="n">
        <f aca="false">s_T*p_fpm_reg*M24</f>
        <v>0.498039351573554</v>
      </c>
      <c r="Y24" s="10" t="n">
        <f aca="false">s_T*O24</f>
        <v>0</v>
      </c>
      <c r="Z24" s="10" t="n">
        <f aca="false">s_T*(p_fpm_reg/p_all)*V24</f>
        <v>10.3057123443086</v>
      </c>
      <c r="AA24" s="10" t="n">
        <f aca="false">s_T*(p_fpm_ext/p_all)*V24</f>
        <v>1.37409497924115</v>
      </c>
      <c r="AB24" s="10" t="n">
        <f aca="false">fundeb*(X24+Z24)</f>
        <v>2.16075033917643</v>
      </c>
      <c r="AC24" s="10" t="n">
        <f aca="false">X24+Y24-fundeb*X24</f>
        <v>0.398431481258843</v>
      </c>
      <c r="AD24" s="10" t="n">
        <f aca="false">Z24+AA24-fundeb*Z24</f>
        <v>9.61866485468803</v>
      </c>
      <c r="AE24" s="10" t="n">
        <f aca="false">AC24+AD24</f>
        <v>10.0170963359469</v>
      </c>
      <c r="AF24" s="10" t="n">
        <f aca="false">s_T*Q24*(p_fpm_reg/p_all*(1-fundeb)+p_fpm_ext/p_all)</f>
        <v>10.1768204505823</v>
      </c>
      <c r="AG24" s="10" t="n">
        <f aca="false">AE24-AF24</f>
        <v>-0.159724114635379</v>
      </c>
      <c r="AH24" s="10" t="n">
        <f aca="false">SUM($AG$20:AG24)</f>
        <v>-20.6246575268994</v>
      </c>
      <c r="AI24" s="10" t="n">
        <f aca="false">share_ipiis*(orc_cota*INDEX(w_fpm,C24)*(1-fundeb)+IF(OR(C24=7,C24=9,C24=12),orc_extra/3,0))</f>
        <v>4.49503124163144</v>
      </c>
      <c r="AJ24" s="10" t="n">
        <f aca="false">AC24-AI24</f>
        <v>-4.09659976037259</v>
      </c>
      <c r="AK24" s="10" t="n">
        <f aca="false">SUM($AJ$20:AJ24)</f>
        <v>-10.3118355231884</v>
      </c>
    </row>
    <row r="25" customFormat="false" ht="15" hidden="false" customHeight="false" outlineLevel="0" collapsed="false">
      <c r="A25" s="54" t="n">
        <v>46539</v>
      </c>
      <c r="B25" s="55" t="n">
        <f aca="false">YEAR(A25)</f>
        <v>2027</v>
      </c>
      <c r="C25" s="55" t="n">
        <f aca="false">MONTH(A25)</f>
        <v>6</v>
      </c>
      <c r="D25" s="55" t="n">
        <f aca="false">ROW()-7</f>
        <v>18</v>
      </c>
      <c r="E25" s="10" t="n">
        <f aca="false">ipi_tot_27/12*INDEX(seas_fg,C25)</f>
        <v>459.58149142714</v>
      </c>
      <c r="F25" s="10" t="n">
        <v>0</v>
      </c>
      <c r="G25" s="10" t="n">
        <f aca="false">IF(C25&lt;$C$3,0,is_tot_27/12*$C$5*MIN(1,(C25-$C$3+1)/$C$4))</f>
        <v>0</v>
      </c>
      <c r="H25" s="10" t="n">
        <f aca="false">INDEX($E$8:$E$31,MAX(1,D25-lag_rec))</f>
        <v>464.620762166473</v>
      </c>
      <c r="I25" s="10" t="n">
        <f aca="false">F25</f>
        <v>0</v>
      </c>
      <c r="J25" s="10" t="n">
        <f aca="false">INDEX($G$8:$G$31,MAX(1,D25-lag_rec))</f>
        <v>0</v>
      </c>
      <c r="K25" s="10" t="n">
        <f aca="false">sh_same*H25+(1-sh_same)*INDEX($H$8:$H$31,MAX(1,D25-1))+(1-frac_imp)*I25+frac_imp*INDEX($I$8:$I$31,MAX(1,D25-1))</f>
        <v>439.564591819467</v>
      </c>
      <c r="L25" s="10" t="n">
        <f aca="false">sh_same*J25+(1-sh_same)*INDEX($J$8:$J$31,MAX(1,D25-1))</f>
        <v>0</v>
      </c>
      <c r="M25" s="10" t="n">
        <f aca="false">K25+L25</f>
        <v>439.564591819467</v>
      </c>
      <c r="N25" s="10" t="n">
        <f aca="false">p_reg*M25</f>
        <v>250.551817337096</v>
      </c>
      <c r="O25" s="10" t="n">
        <f aca="false">IF(OR(C25=7,C25=9,C25=12),ext_each*SUM(H13:J24),0)</f>
        <v>0</v>
      </c>
      <c r="P25" s="10" t="n">
        <f aca="false">N25+O25</f>
        <v>250.551817337096</v>
      </c>
      <c r="Q25" s="10" t="n">
        <f aca="false">ref_anual*INDEX(IPCA!$D$18:$D$29,C25)/sum_idx27</f>
        <v>5397.0016140315</v>
      </c>
      <c r="R25" s="10" t="n">
        <f aca="false">Q25-P25</f>
        <v>5146.4497966944</v>
      </c>
      <c r="S25" s="10" t="n">
        <f aca="false">MIN(0,T24)</f>
        <v>0</v>
      </c>
      <c r="T25" s="10" t="n">
        <f aca="false">R25+S25</f>
        <v>5146.4497966944</v>
      </c>
      <c r="U25" s="10" t="n">
        <f aca="false">MAX(0,T25)</f>
        <v>5146.4497966944</v>
      </c>
      <c r="V25" s="10" t="n">
        <f aca="false">IF(cap_on=1,MIN(IF(D25-lag_comp&lt;13,0,INDEX($U$8:$U$31,D25-lag_comp)),MAX(0,comp_fundo-SUM($V$20:V24))),IF(D25-lag_comp&lt;13,0,INDEX($U$8:$U$31,D25-lag_comp)))</f>
        <v>5104.89366778421</v>
      </c>
      <c r="W25" s="10" t="n">
        <f aca="false">P25+V25</f>
        <v>5355.44548512131</v>
      </c>
      <c r="X25" s="10" t="n">
        <f aca="false">s_T*p_fpm_reg*M25</f>
        <v>0.534721161026643</v>
      </c>
      <c r="Y25" s="10" t="n">
        <f aca="false">s_T*O25</f>
        <v>0</v>
      </c>
      <c r="Z25" s="10" t="n">
        <f aca="false">s_T*(p_fpm_reg/p_all)*V25</f>
        <v>10.3499945163775</v>
      </c>
      <c r="AA25" s="10" t="n">
        <f aca="false">s_T*(p_fpm_ext/p_all)*V25</f>
        <v>1.37999926885034</v>
      </c>
      <c r="AB25" s="10" t="n">
        <f aca="false">fundeb*(X25+Z25)</f>
        <v>2.17694313548083</v>
      </c>
      <c r="AC25" s="10" t="n">
        <f aca="false">X25+Y25-fundeb*X25</f>
        <v>0.427776928821314</v>
      </c>
      <c r="AD25" s="10" t="n">
        <f aca="false">Z25+AA25-fundeb*Z25</f>
        <v>9.65999488195236</v>
      </c>
      <c r="AE25" s="10" t="n">
        <f aca="false">AC25+AD25</f>
        <v>10.0877718107737</v>
      </c>
      <c r="AF25" s="10" t="n">
        <f aca="false">s_T*Q25*(p_fpm_reg/p_all*(1-fundeb)+p_fpm_ext/p_all)</f>
        <v>10.2127510115333</v>
      </c>
      <c r="AG25" s="10" t="n">
        <f aca="false">AE25-AF25</f>
        <v>-0.124979200759579</v>
      </c>
      <c r="AH25" s="10" t="n">
        <f aca="false">SUM($AG$20:AG25)</f>
        <v>-20.749636727659</v>
      </c>
      <c r="AI25" s="10" t="n">
        <f aca="false">share_ipiis*(orc_cota*INDEX(w_fpm,C25)*(1-fundeb)+IF(OR(C25=7,C25=9,C25=12),orc_extra/3,0))</f>
        <v>4.46095614118843</v>
      </c>
      <c r="AJ25" s="10" t="n">
        <f aca="false">AC25-AI25</f>
        <v>-4.03317921236711</v>
      </c>
      <c r="AK25" s="10" t="n">
        <f aca="false">SUM($AJ$20:AJ25)</f>
        <v>-14.3450147355555</v>
      </c>
    </row>
    <row r="26" customFormat="false" ht="15" hidden="false" customHeight="false" outlineLevel="0" collapsed="false">
      <c r="A26" s="54" t="n">
        <v>46569</v>
      </c>
      <c r="B26" s="55" t="n">
        <f aca="false">YEAR(A26)</f>
        <v>2027</v>
      </c>
      <c r="C26" s="55" t="n">
        <f aca="false">MONTH(A26)</f>
        <v>7</v>
      </c>
      <c r="D26" s="55" t="n">
        <f aca="false">ROW()-7</f>
        <v>19</v>
      </c>
      <c r="E26" s="10" t="n">
        <f aca="false">ipi_tot_27/12*INDEX(seas_fg,C26)</f>
        <v>442.218913152531</v>
      </c>
      <c r="F26" s="10" t="n">
        <v>0</v>
      </c>
      <c r="G26" s="10" t="n">
        <f aca="false">IF(C26&lt;$C$3,0,is_tot_27/12*$C$5*MIN(1,(C26-$C$3+1)/$C$4))</f>
        <v>3499.69583333333</v>
      </c>
      <c r="H26" s="10" t="n">
        <f aca="false">INDEX($E$8:$E$31,MAX(1,D26-lag_rec))</f>
        <v>459.58149142714</v>
      </c>
      <c r="I26" s="10" t="n">
        <f aca="false">F26</f>
        <v>0</v>
      </c>
      <c r="J26" s="10" t="n">
        <f aca="false">INDEX($G$8:$G$31,MAX(1,D26-lag_rec))</f>
        <v>0</v>
      </c>
      <c r="K26" s="10" t="n">
        <f aca="false">sh_same*H26+(1-sh_same)*INDEX($H$8:$H$31,MAX(1,D26-1))+(1-frac_imp)*I26+frac_imp*INDEX($I$8:$I$31,MAX(1,D26-1))</f>
        <v>462.504268455953</v>
      </c>
      <c r="L26" s="10" t="n">
        <f aca="false">sh_same*J26+(1-sh_same)*INDEX($J$8:$J$31,MAX(1,D26-1))</f>
        <v>0</v>
      </c>
      <c r="M26" s="10" t="n">
        <f aca="false">K26+L26</f>
        <v>462.504268455953</v>
      </c>
      <c r="N26" s="10" t="n">
        <f aca="false">p_reg*M26</f>
        <v>263.627433019893</v>
      </c>
      <c r="O26" s="10" t="n">
        <f aca="false">IF(OR(C26=7,C26=9,C26=12),ext_each*SUM(H14:J25),0)</f>
        <v>593.139822740992</v>
      </c>
      <c r="P26" s="10" t="n">
        <f aca="false">N26+O26</f>
        <v>856.767255760885</v>
      </c>
      <c r="Q26" s="10" t="n">
        <f aca="false">ref_anual*INDEX(IPCA!$D$18:$D$29,C26)/sum_idx27</f>
        <v>5416.05641571413</v>
      </c>
      <c r="R26" s="10" t="n">
        <f aca="false">Q26-P26</f>
        <v>4559.28915995325</v>
      </c>
      <c r="S26" s="10" t="n">
        <f aca="false">MIN(0,T25)</f>
        <v>0</v>
      </c>
      <c r="T26" s="10" t="n">
        <f aca="false">R26+S26</f>
        <v>4559.28915995325</v>
      </c>
      <c r="U26" s="10" t="n">
        <f aca="false">MAX(0,T26)</f>
        <v>4559.28915995325</v>
      </c>
      <c r="V26" s="10" t="n">
        <f aca="false">IF(cap_on=1,MIN(IF(D26-lag_comp&lt;13,0,INDEX($U$8:$U$31,D26-lag_comp)),MAX(0,comp_fundo-SUM($V$20:V25))),IF(D26-lag_comp&lt;13,0,INDEX($U$8:$U$31,D26-lag_comp)))</f>
        <v>5144.64985925531</v>
      </c>
      <c r="W26" s="10" t="n">
        <f aca="false">P26+V26</f>
        <v>6001.4171150162</v>
      </c>
      <c r="X26" s="10" t="n">
        <f aca="false">s_T*p_fpm_reg*M26</f>
        <v>0.56262679936267</v>
      </c>
      <c r="Y26" s="10" t="n">
        <f aca="false">s_T*O26</f>
        <v>3.20685434399606</v>
      </c>
      <c r="Z26" s="10" t="n">
        <f aca="false">s_T*(p_fpm_reg/p_all)*V26</f>
        <v>10.4305988130575</v>
      </c>
      <c r="AA26" s="10" t="n">
        <f aca="false">s_T*(p_fpm_ext/p_all)*V26</f>
        <v>1.39074650840767</v>
      </c>
      <c r="AB26" s="10" t="n">
        <f aca="false">fundeb*(X26+Z26)</f>
        <v>2.19864512248404</v>
      </c>
      <c r="AC26" s="10" t="n">
        <f aca="false">X26+Y26-fundeb*X26</f>
        <v>3.65695578348619</v>
      </c>
      <c r="AD26" s="10" t="n">
        <f aca="false">Z26+AA26-fundeb*Z26</f>
        <v>9.7352255588537</v>
      </c>
      <c r="AE26" s="10" t="n">
        <f aca="false">AC26+AD26</f>
        <v>13.3921813423399</v>
      </c>
      <c r="AF26" s="10" t="n">
        <f aca="false">s_T*Q26*(p_fpm_reg/p_all*(1-fundeb)+p_fpm_ext/p_all)</f>
        <v>10.2488084299066</v>
      </c>
      <c r="AG26" s="10" t="n">
        <f aca="false">AE26-AF26</f>
        <v>3.14337291243326</v>
      </c>
      <c r="AH26" s="10" t="n">
        <f aca="false">SUM($AG$20:AG26)</f>
        <v>-17.6062638152257</v>
      </c>
      <c r="AI26" s="10" t="n">
        <f aca="false">share_ipiis*(orc_cota*INDEX(w_fpm,C26)*(1-fundeb)+IF(OR(C26=7,C26=9,C26=12),orc_extra/3,0))</f>
        <v>5.83963396547176</v>
      </c>
      <c r="AJ26" s="10" t="n">
        <f aca="false">AC26-AI26</f>
        <v>-2.18267818198557</v>
      </c>
      <c r="AK26" s="10" t="n">
        <f aca="false">SUM($AJ$20:AJ26)</f>
        <v>-16.5276929175411</v>
      </c>
    </row>
    <row r="27" customFormat="false" ht="15" hidden="false" customHeight="false" outlineLevel="0" collapsed="false">
      <c r="A27" s="54" t="n">
        <v>46600</v>
      </c>
      <c r="B27" s="55" t="n">
        <f aca="false">YEAR(A27)</f>
        <v>2027</v>
      </c>
      <c r="C27" s="55" t="n">
        <f aca="false">MONTH(A27)</f>
        <v>8</v>
      </c>
      <c r="D27" s="55" t="n">
        <f aca="false">ROW()-7</f>
        <v>20</v>
      </c>
      <c r="E27" s="10" t="n">
        <f aca="false">ipi_tot_27/12*INDEX(seas_fg,C27)</f>
        <v>530.222904882149</v>
      </c>
      <c r="F27" s="10" t="n">
        <v>0</v>
      </c>
      <c r="G27" s="10" t="n">
        <f aca="false">IF(C27&lt;$C$3,0,is_tot_27/12*$C$5*MIN(1,(C27-$C$3+1)/$C$4))</f>
        <v>3499.69583333333</v>
      </c>
      <c r="H27" s="10" t="n">
        <f aca="false">INDEX($E$8:$E$31,MAX(1,D27-lag_rec))</f>
        <v>442.218913152531</v>
      </c>
      <c r="I27" s="10" t="n">
        <f aca="false">F27</f>
        <v>0</v>
      </c>
      <c r="J27" s="10" t="n">
        <f aca="false">INDEX($G$8:$G$31,MAX(1,D27-lag_rec))</f>
        <v>3499.69583333333</v>
      </c>
      <c r="K27" s="10" t="n">
        <f aca="false">sh_same*H27+(1-sh_same)*INDEX($H$8:$H$31,MAX(1,D27-1))+(1-frac_imp)*I27+frac_imp*INDEX($I$8:$I$31,MAX(1,D27-1))</f>
        <v>452.289208551804</v>
      </c>
      <c r="L27" s="10" t="n">
        <f aca="false">sh_same*J27+(1-sh_same)*INDEX($J$8:$J$31,MAX(1,D27-1))</f>
        <v>1469.87225</v>
      </c>
      <c r="M27" s="10" t="n">
        <f aca="false">K27+L27</f>
        <v>1922.1614585518</v>
      </c>
      <c r="N27" s="10" t="n">
        <f aca="false">p_reg*M27</f>
        <v>1095.63203137453</v>
      </c>
      <c r="O27" s="10" t="n">
        <f aca="false">IF(OR(C27=7,C27=9,C27=12),ext_each*SUM(H15:J26),0)</f>
        <v>0</v>
      </c>
      <c r="P27" s="10" t="n">
        <f aca="false">N27+O27</f>
        <v>1095.63203137453</v>
      </c>
      <c r="Q27" s="10" t="n">
        <f aca="false">ref_anual*INDEX(IPCA!$D$18:$D$29,C27)/sum_idx27</f>
        <v>5435.17849280136</v>
      </c>
      <c r="R27" s="10" t="n">
        <f aca="false">Q27-P27</f>
        <v>4339.54646142683</v>
      </c>
      <c r="S27" s="10" t="n">
        <f aca="false">MIN(0,T26)</f>
        <v>0</v>
      </c>
      <c r="T27" s="10" t="n">
        <f aca="false">R27+S27</f>
        <v>4339.54646142683</v>
      </c>
      <c r="U27" s="10" t="n">
        <f aca="false">MAX(0,T27)</f>
        <v>4339.54646142683</v>
      </c>
      <c r="V27" s="10" t="n">
        <f aca="false">IF(cap_on=1,MIN(IF(D27-lag_comp&lt;13,0,INDEX($U$8:$U$31,D27-lag_comp)),MAX(0,comp_fundo-SUM($V$20:V26))),IF(D27-lag_comp&lt;13,0,INDEX($U$8:$U$31,D27-lag_comp)))</f>
        <v>5146.4497966944</v>
      </c>
      <c r="W27" s="10" t="n">
        <f aca="false">P27+V27</f>
        <v>6242.08182806893</v>
      </c>
      <c r="X27" s="10" t="n">
        <f aca="false">s_T*p_fpm_reg*M27</f>
        <v>2.33826933726186</v>
      </c>
      <c r="Y27" s="10" t="n">
        <f aca="false">s_T*O27</f>
        <v>0</v>
      </c>
      <c r="Z27" s="10" t="n">
        <f aca="false">s_T*(p_fpm_reg/p_all)*V27</f>
        <v>10.4342481236675</v>
      </c>
      <c r="AA27" s="10" t="n">
        <f aca="false">s_T*(p_fpm_ext/p_all)*V27</f>
        <v>1.39123308315566</v>
      </c>
      <c r="AB27" s="10" t="n">
        <f aca="false">fundeb*(X27+Z27)</f>
        <v>2.55450349218586</v>
      </c>
      <c r="AC27" s="10" t="n">
        <f aca="false">X27+Y27-fundeb*X27</f>
        <v>1.87061546980949</v>
      </c>
      <c r="AD27" s="10" t="n">
        <f aca="false">Z27+AA27-fundeb*Z27</f>
        <v>9.73863158208963</v>
      </c>
      <c r="AE27" s="10" t="n">
        <f aca="false">AC27+AD27</f>
        <v>11.6092470518991</v>
      </c>
      <c r="AF27" s="10" t="n">
        <f aca="false">s_T*Q27*(p_fpm_reg/p_all*(1-fundeb)+p_fpm_ext/p_all)</f>
        <v>10.2849931535887</v>
      </c>
      <c r="AG27" s="10" t="n">
        <f aca="false">AE27-AF27</f>
        <v>1.32425389831046</v>
      </c>
      <c r="AH27" s="10" t="n">
        <f aca="false">SUM($AG$20:AG27)</f>
        <v>-16.2820099169153</v>
      </c>
      <c r="AI27" s="10" t="n">
        <f aca="false">share_ipiis*(orc_cota*INDEX(w_fpm,C27)*(1-fundeb)+IF(OR(C27=7,C27=9,C27=12),orc_extra/3,0))</f>
        <v>3.88648969940325</v>
      </c>
      <c r="AJ27" s="10" t="n">
        <f aca="false">AC27-AI27</f>
        <v>-2.01587422959376</v>
      </c>
      <c r="AK27" s="10" t="n">
        <f aca="false">SUM($AJ$20:AJ27)</f>
        <v>-18.5435671471348</v>
      </c>
    </row>
    <row r="28" customFormat="false" ht="15" hidden="false" customHeight="false" outlineLevel="0" collapsed="false">
      <c r="A28" s="54" t="n">
        <v>46631</v>
      </c>
      <c r="B28" s="55" t="n">
        <f aca="false">YEAR(A28)</f>
        <v>2027</v>
      </c>
      <c r="C28" s="55" t="n">
        <f aca="false">MONTH(A28)</f>
        <v>9</v>
      </c>
      <c r="D28" s="55" t="n">
        <f aca="false">ROW()-7</f>
        <v>21</v>
      </c>
      <c r="E28" s="10" t="n">
        <f aca="false">ipi_tot_27/12*INDEX(seas_fg,C28)</f>
        <v>471.12600257543</v>
      </c>
      <c r="F28" s="10" t="n">
        <v>0</v>
      </c>
      <c r="G28" s="10" t="n">
        <f aca="false">IF(C28&lt;$C$3,0,is_tot_27/12*$C$5*MIN(1,(C28-$C$3+1)/$C$4))</f>
        <v>3499.69583333333</v>
      </c>
      <c r="H28" s="10" t="n">
        <f aca="false">INDEX($E$8:$E$31,MAX(1,D28-lag_rec))</f>
        <v>530.222904882149</v>
      </c>
      <c r="I28" s="10" t="n">
        <f aca="false">F28</f>
        <v>0</v>
      </c>
      <c r="J28" s="10" t="n">
        <f aca="false">INDEX($G$8:$G$31,MAX(1,D28-lag_rec))</f>
        <v>3499.69583333333</v>
      </c>
      <c r="K28" s="10" t="n">
        <f aca="false">sh_same*H28+(1-sh_same)*INDEX($H$8:$H$31,MAX(1,D28-1))+(1-frac_imp)*I28+frac_imp*INDEX($I$8:$I$31,MAX(1,D28-1))</f>
        <v>479.180589678971</v>
      </c>
      <c r="L28" s="10" t="n">
        <f aca="false">sh_same*J28+(1-sh_same)*INDEX($J$8:$J$31,MAX(1,D28-1))</f>
        <v>3499.69583333333</v>
      </c>
      <c r="M28" s="10" t="n">
        <f aca="false">K28+L28</f>
        <v>3978.8764230123</v>
      </c>
      <c r="N28" s="10" t="n">
        <f aca="false">p_reg*M28</f>
        <v>2267.95956111701</v>
      </c>
      <c r="O28" s="10" t="n">
        <f aca="false">IF(OR(C28=7,C28=9,C28=12),ext_each*SUM(H16:J27),0)</f>
        <v>468.710698391886</v>
      </c>
      <c r="P28" s="10" t="n">
        <f aca="false">N28+O28</f>
        <v>2736.6702595089</v>
      </c>
      <c r="Q28" s="10" t="n">
        <f aca="false">ref_anual*INDEX(IPCA!$D$18:$D$29,C28)/sum_idx27</f>
        <v>5454.36808281756</v>
      </c>
      <c r="R28" s="10" t="n">
        <f aca="false">Q28-P28</f>
        <v>2717.69782330866</v>
      </c>
      <c r="S28" s="10" t="n">
        <f aca="false">MIN(0,T27)</f>
        <v>0</v>
      </c>
      <c r="T28" s="10" t="n">
        <f aca="false">R28+S28</f>
        <v>2717.69782330866</v>
      </c>
      <c r="U28" s="10" t="n">
        <f aca="false">MAX(0,T28)</f>
        <v>2717.69782330866</v>
      </c>
      <c r="V28" s="10" t="n">
        <f aca="false">IF(cap_on=1,MIN(IF(D28-lag_comp&lt;13,0,INDEX($U$8:$U$31,D28-lag_comp)),MAX(0,comp_fundo-SUM($V$20:V27))),IF(D28-lag_comp&lt;13,0,INDEX($U$8:$U$31,D28-lag_comp)))</f>
        <v>4559.28915995325</v>
      </c>
      <c r="W28" s="10" t="n">
        <f aca="false">P28+V28</f>
        <v>7295.95941946215</v>
      </c>
      <c r="X28" s="10" t="n">
        <f aca="false">s_T*p_fpm_reg*M28</f>
        <v>4.84022020902105</v>
      </c>
      <c r="Y28" s="10" t="n">
        <f aca="false">s_T*O28</f>
        <v>2.53411907544742</v>
      </c>
      <c r="Z28" s="10" t="n">
        <f aca="false">s_T*(p_fpm_reg/p_all)*V28</f>
        <v>9.2438003365069</v>
      </c>
      <c r="AA28" s="10" t="n">
        <f aca="false">s_T*(p_fpm_ext/p_all)*V28</f>
        <v>1.23250671153425</v>
      </c>
      <c r="AB28" s="10" t="n">
        <f aca="false">fundeb*(X28+Z28)</f>
        <v>2.81680410910559</v>
      </c>
      <c r="AC28" s="10" t="n">
        <f aca="false">X28+Y28-fundeb*X28</f>
        <v>6.40629524266425</v>
      </c>
      <c r="AD28" s="10" t="n">
        <f aca="false">Z28+AA28-fundeb*Z28</f>
        <v>8.62754698073978</v>
      </c>
      <c r="AE28" s="10" t="n">
        <f aca="false">AC28+AD28</f>
        <v>15.033842223404</v>
      </c>
      <c r="AF28" s="10" t="n">
        <f aca="false">s_T*Q28*(p_fpm_reg/p_all*(1-fundeb)+p_fpm_ext/p_all)</f>
        <v>10.321305632047</v>
      </c>
      <c r="AG28" s="10" t="n">
        <f aca="false">AE28-AF28</f>
        <v>4.71253659135708</v>
      </c>
      <c r="AH28" s="10" t="n">
        <f aca="false">SUM($AG$20:AG28)</f>
        <v>-11.5694733255582</v>
      </c>
      <c r="AI28" s="10" t="n">
        <f aca="false">share_ipiis*(orc_cota*INDEX(w_fpm,C28)*(1-fundeb)+IF(OR(C28=7,C28=9,C28=12),orc_extra/3,0))</f>
        <v>6.46522102319659</v>
      </c>
      <c r="AJ28" s="10" t="n">
        <f aca="false">AC28-AI28</f>
        <v>-0.0589257805323404</v>
      </c>
      <c r="AK28" s="10" t="n">
        <f aca="false">SUM($AJ$20:AJ28)</f>
        <v>-18.6024929276672</v>
      </c>
    </row>
    <row r="29" customFormat="false" ht="15" hidden="false" customHeight="false" outlineLevel="0" collapsed="false">
      <c r="A29" s="54" t="n">
        <v>46661</v>
      </c>
      <c r="B29" s="55" t="n">
        <f aca="false">YEAR(A29)</f>
        <v>2027</v>
      </c>
      <c r="C29" s="55" t="n">
        <f aca="false">MONTH(A29)</f>
        <v>10</v>
      </c>
      <c r="D29" s="55" t="n">
        <f aca="false">ROW()-7</f>
        <v>22</v>
      </c>
      <c r="E29" s="10" t="n">
        <f aca="false">ipi_tot_27/12*INDEX(seas_fg,C29)</f>
        <v>463.887777331661</v>
      </c>
      <c r="F29" s="10" t="n">
        <v>0</v>
      </c>
      <c r="G29" s="10" t="n">
        <f aca="false">IF(C29&lt;$C$3,0,is_tot_27/12*$C$5*MIN(1,(C29-$C$3+1)/$C$4))</f>
        <v>3499.69583333333</v>
      </c>
      <c r="H29" s="10" t="n">
        <f aca="false">INDEX($E$8:$E$31,MAX(1,D29-lag_rec))</f>
        <v>471.12600257543</v>
      </c>
      <c r="I29" s="10" t="n">
        <f aca="false">F29</f>
        <v>0</v>
      </c>
      <c r="J29" s="10" t="n">
        <f aca="false">INDEX($G$8:$G$31,MAX(1,D29-lag_rec))</f>
        <v>3499.69583333333</v>
      </c>
      <c r="K29" s="10" t="n">
        <f aca="false">sh_same*H29+(1-sh_same)*INDEX($H$8:$H$31,MAX(1,D29-1))+(1-frac_imp)*I29+frac_imp*INDEX($I$8:$I$31,MAX(1,D29-1))</f>
        <v>505.402205913327</v>
      </c>
      <c r="L29" s="10" t="n">
        <f aca="false">sh_same*J29+(1-sh_same)*INDEX($J$8:$J$31,MAX(1,D29-1))</f>
        <v>3499.69583333333</v>
      </c>
      <c r="M29" s="10" t="n">
        <f aca="false">K29+L29</f>
        <v>4005.09803924666</v>
      </c>
      <c r="N29" s="10" t="n">
        <f aca="false">p_reg*M29</f>
        <v>2282.9058823706</v>
      </c>
      <c r="O29" s="10" t="n">
        <f aca="false">IF(OR(C29=7,C29=9,C29=12),ext_each*SUM(H17:J28),0)</f>
        <v>0</v>
      </c>
      <c r="P29" s="10" t="n">
        <f aca="false">N29+O29</f>
        <v>2282.9058823706</v>
      </c>
      <c r="Q29" s="10" t="n">
        <f aca="false">ref_anual*INDEX(IPCA!$D$18:$D$29,C29)/sum_idx27</f>
        <v>5473.62542412574</v>
      </c>
      <c r="R29" s="10" t="n">
        <f aca="false">Q29-P29</f>
        <v>3190.71954175514</v>
      </c>
      <c r="S29" s="10" t="n">
        <f aca="false">MIN(0,T28)</f>
        <v>0</v>
      </c>
      <c r="T29" s="10" t="n">
        <f aca="false">R29+S29</f>
        <v>3190.71954175514</v>
      </c>
      <c r="U29" s="10" t="n">
        <f aca="false">MAX(0,T29)</f>
        <v>3190.71954175514</v>
      </c>
      <c r="V29" s="10" t="n">
        <f aca="false">IF(cap_on=1,MIN(IF(D29-lag_comp&lt;13,0,INDEX($U$8:$U$31,D29-lag_comp)),MAX(0,comp_fundo-SUM($V$20:V28))),IF(D29-lag_comp&lt;13,0,INDEX($U$8:$U$31,D29-lag_comp)))</f>
        <v>4339.54646142683</v>
      </c>
      <c r="W29" s="10" t="n">
        <f aca="false">P29+V29</f>
        <v>6622.45234379743</v>
      </c>
      <c r="X29" s="10" t="n">
        <f aca="false">s_T*p_fpm_reg*M29</f>
        <v>4.87211825844944</v>
      </c>
      <c r="Y29" s="10" t="n">
        <f aca="false">s_T*O29</f>
        <v>0</v>
      </c>
      <c r="Z29" s="10" t="n">
        <f aca="false">s_T*(p_fpm_reg/p_all)*V29</f>
        <v>8.79827965130337</v>
      </c>
      <c r="AA29" s="10" t="n">
        <f aca="false">s_T*(p_fpm_ext/p_all)*V29</f>
        <v>1.17310395350712</v>
      </c>
      <c r="AB29" s="10" t="n">
        <f aca="false">fundeb*(X29+Z29)</f>
        <v>2.73407958195056</v>
      </c>
      <c r="AC29" s="10" t="n">
        <f aca="false">X29+Y29-fundeb*X29</f>
        <v>3.89769460675956</v>
      </c>
      <c r="AD29" s="10" t="n">
        <f aca="false">Z29+AA29-fundeb*Z29</f>
        <v>8.21172767454981</v>
      </c>
      <c r="AE29" s="10" t="n">
        <f aca="false">AC29+AD29</f>
        <v>12.1094222813094</v>
      </c>
      <c r="AF29" s="10" t="n">
        <f aca="false">s_T*Q29*(p_fpm_reg/p_all*(1-fundeb)+p_fpm_ext/p_all)</f>
        <v>10.357746316336</v>
      </c>
      <c r="AG29" s="10" t="n">
        <f aca="false">AE29-AF29</f>
        <v>1.75167596497334</v>
      </c>
      <c r="AH29" s="10" t="n">
        <f aca="false">SUM($AG$20:AG29)</f>
        <v>-9.81779736058486</v>
      </c>
      <c r="AI29" s="10" t="n">
        <f aca="false">share_ipiis*(orc_cota*INDEX(w_fpm,C29)*(1-fundeb)+IF(OR(C29=7,C29=9,C29=12),orc_extra/3,0))</f>
        <v>3.44784314129058</v>
      </c>
      <c r="AJ29" s="10" t="n">
        <f aca="false">AC29-AI29</f>
        <v>0.449851465468977</v>
      </c>
      <c r="AK29" s="10" t="n">
        <f aca="false">SUM($AJ$20:AJ29)</f>
        <v>-18.1526414621982</v>
      </c>
    </row>
    <row r="30" customFormat="false" ht="15" hidden="false" customHeight="false" outlineLevel="0" collapsed="false">
      <c r="A30" s="54" t="n">
        <v>46692</v>
      </c>
      <c r="B30" s="55" t="n">
        <f aca="false">YEAR(A30)</f>
        <v>2027</v>
      </c>
      <c r="C30" s="55" t="n">
        <f aca="false">MONTH(A30)</f>
        <v>11</v>
      </c>
      <c r="D30" s="55" t="n">
        <f aca="false">ROW()-7</f>
        <v>23</v>
      </c>
      <c r="E30" s="10" t="n">
        <f aca="false">ipi_tot_27/12*INDEX(seas_fg,C30)</f>
        <v>500.399584415735</v>
      </c>
      <c r="F30" s="10" t="n">
        <v>0</v>
      </c>
      <c r="G30" s="10" t="n">
        <f aca="false">IF(C30&lt;$C$3,0,is_tot_27/12*$C$5*MIN(1,(C30-$C$3+1)/$C$4))</f>
        <v>3499.69583333333</v>
      </c>
      <c r="H30" s="10" t="n">
        <f aca="false">INDEX($E$8:$E$31,MAX(1,D30-lag_rec))</f>
        <v>463.887777331661</v>
      </c>
      <c r="I30" s="10" t="n">
        <f aca="false">F30</f>
        <v>0</v>
      </c>
      <c r="J30" s="10" t="n">
        <f aca="false">INDEX($G$8:$G$31,MAX(1,D30-lag_rec))</f>
        <v>3499.69583333333</v>
      </c>
      <c r="K30" s="10" t="n">
        <f aca="false">sh_same*H30+(1-sh_same)*INDEX($H$8:$H$31,MAX(1,D30-1))+(1-frac_imp)*I30+frac_imp*INDEX($I$8:$I$31,MAX(1,D30-1))</f>
        <v>468.085947973047</v>
      </c>
      <c r="L30" s="10" t="n">
        <f aca="false">sh_same*J30+(1-sh_same)*INDEX($J$8:$J$31,MAX(1,D30-1))</f>
        <v>3499.69583333333</v>
      </c>
      <c r="M30" s="10" t="n">
        <f aca="false">K30+L30</f>
        <v>3967.78178130638</v>
      </c>
      <c r="N30" s="10" t="n">
        <f aca="false">p_reg*M30</f>
        <v>2261.63561534464</v>
      </c>
      <c r="O30" s="10" t="n">
        <f aca="false">IF(OR(C30=7,C30=9,C30=12),ext_each*SUM(H18:J29),0)</f>
        <v>0</v>
      </c>
      <c r="P30" s="10" t="n">
        <f aca="false">N30+O30</f>
        <v>2261.63561534464</v>
      </c>
      <c r="Q30" s="10" t="n">
        <f aca="false">ref_anual*INDEX(IPCA!$D$18:$D$29,C30)/sum_idx27</f>
        <v>5492.95075593046</v>
      </c>
      <c r="R30" s="10" t="n">
        <f aca="false">Q30-P30</f>
        <v>3231.31514058582</v>
      </c>
      <c r="S30" s="10" t="n">
        <f aca="false">MIN(0,T29)</f>
        <v>0</v>
      </c>
      <c r="T30" s="10" t="n">
        <f aca="false">R30+S30</f>
        <v>3231.31514058582</v>
      </c>
      <c r="U30" s="10" t="n">
        <f aca="false">MAX(0,T30)</f>
        <v>3231.31514058582</v>
      </c>
      <c r="V30" s="10" t="n">
        <f aca="false">IF(cap_on=1,MIN(IF(D30-lag_comp&lt;13,0,INDEX($U$8:$U$31,D30-lag_comp)),MAX(0,comp_fundo-SUM($V$20:V29))),IF(D30-lag_comp&lt;13,0,INDEX($U$8:$U$31,D30-lag_comp)))</f>
        <v>2717.69782330866</v>
      </c>
      <c r="W30" s="10" t="n">
        <f aca="false">P30+V30</f>
        <v>4979.3334386533</v>
      </c>
      <c r="X30" s="10" t="n">
        <f aca="false">s_T*p_fpm_reg*M30</f>
        <v>4.82672380870907</v>
      </c>
      <c r="Y30" s="10" t="n">
        <f aca="false">s_T*O30</f>
        <v>0</v>
      </c>
      <c r="Z30" s="10" t="n">
        <f aca="false">s_T*(p_fpm_reg/p_all)*V30</f>
        <v>5.51003789675896</v>
      </c>
      <c r="AA30" s="10" t="n">
        <f aca="false">s_T*(p_fpm_ext/p_all)*V30</f>
        <v>0.734671719567861</v>
      </c>
      <c r="AB30" s="10" t="n">
        <f aca="false">fundeb*(X30+Z30)</f>
        <v>2.06735234109361</v>
      </c>
      <c r="AC30" s="10" t="n">
        <f aca="false">X30+Y30-fundeb*X30</f>
        <v>3.86137904696726</v>
      </c>
      <c r="AD30" s="10" t="n">
        <f aca="false">Z30+AA30-fundeb*Z30</f>
        <v>5.14270203697503</v>
      </c>
      <c r="AE30" s="10" t="n">
        <f aca="false">AC30+AD30</f>
        <v>9.00408108394228</v>
      </c>
      <c r="AF30" s="10" t="n">
        <f aca="false">s_T*Q30*(p_fpm_reg/p_all*(1-fundeb)+p_fpm_ext/p_all)</f>
        <v>10.3943156591029</v>
      </c>
      <c r="AG30" s="10" t="n">
        <f aca="false">AE30-AF30</f>
        <v>-1.3902345751606</v>
      </c>
      <c r="AH30" s="10" t="n">
        <f aca="false">SUM($AG$20:AG30)</f>
        <v>-11.2080319357455</v>
      </c>
      <c r="AI30" s="10" t="n">
        <f aca="false">share_ipiis*(orc_cota*INDEX(w_fpm,C30)*(1-fundeb)+IF(OR(C30=7,C30=9,C30=12),orc_extra/3,0))</f>
        <v>4.47427905302635</v>
      </c>
      <c r="AJ30" s="10" t="n">
        <f aca="false">AC30-AI30</f>
        <v>-0.612900006059095</v>
      </c>
      <c r="AK30" s="10" t="n">
        <f aca="false">SUM($AJ$20:AJ30)</f>
        <v>-18.7655414682573</v>
      </c>
    </row>
    <row r="31" customFormat="false" ht="15" hidden="false" customHeight="false" outlineLevel="0" collapsed="false">
      <c r="A31" s="54" t="n">
        <v>46722</v>
      </c>
      <c r="B31" s="55" t="n">
        <f aca="false">YEAR(A31)</f>
        <v>2027</v>
      </c>
      <c r="C31" s="55" t="n">
        <f aca="false">MONTH(A31)</f>
        <v>12</v>
      </c>
      <c r="D31" s="55" t="n">
        <f aca="false">ROW()-7</f>
        <v>24</v>
      </c>
      <c r="E31" s="10" t="n">
        <f aca="false">ipi_tot_27/12*INDEX(seas_fg,C31)</f>
        <v>433.194037373907</v>
      </c>
      <c r="F31" s="10" t="n">
        <v>0</v>
      </c>
      <c r="G31" s="10" t="n">
        <f aca="false">IF(C31&lt;$C$3,0,is_tot_27/12*$C$5*MIN(1,(C31-$C$3+1)/$C$4))</f>
        <v>3499.69583333333</v>
      </c>
      <c r="H31" s="10" t="n">
        <f aca="false">INDEX($E$8:$E$31,MAX(1,D31-lag_rec))</f>
        <v>500.399584415735</v>
      </c>
      <c r="I31" s="10" t="n">
        <f aca="false">F31</f>
        <v>0</v>
      </c>
      <c r="J31" s="10" t="n">
        <f aca="false">INDEX($G$8:$G$31,MAX(1,D31-lag_rec))</f>
        <v>3499.69583333333</v>
      </c>
      <c r="K31" s="10" t="n">
        <f aca="false">sh_same*H31+(1-sh_same)*INDEX($H$8:$H$31,MAX(1,D31-1))+(1-frac_imp)*I31+frac_imp*INDEX($I$8:$I$31,MAX(1,D31-1))</f>
        <v>479.222736306972</v>
      </c>
      <c r="L31" s="10" t="n">
        <f aca="false">sh_same*J31+(1-sh_same)*INDEX($J$8:$J$31,MAX(1,D31-1))</f>
        <v>3499.69583333333</v>
      </c>
      <c r="M31" s="10" t="n">
        <f aca="false">K31+L31</f>
        <v>3978.91856964031</v>
      </c>
      <c r="N31" s="10" t="n">
        <f aca="false">p_reg*M31</f>
        <v>2267.98358469497</v>
      </c>
      <c r="O31" s="10" t="n">
        <f aca="false">IF(OR(C31=7,C31=9,C31=12),ext_each*SUM(H19:J30),0)</f>
        <v>323.79727311064</v>
      </c>
      <c r="P31" s="10" t="n">
        <f aca="false">N31+O31</f>
        <v>2591.78085780561</v>
      </c>
      <c r="Q31" s="10" t="n">
        <f aca="false">ref_anual*INDEX(IPCA!$D$18:$D$29,C31)/sum_idx27</f>
        <v>5512.34431828082</v>
      </c>
      <c r="R31" s="10" t="n">
        <f aca="false">Q31-P31</f>
        <v>2920.56346047521</v>
      </c>
      <c r="S31" s="10" t="n">
        <f aca="false">MIN(0,T30)</f>
        <v>0</v>
      </c>
      <c r="T31" s="10" t="n">
        <f aca="false">R31+S31</f>
        <v>2920.56346047521</v>
      </c>
      <c r="U31" s="10" t="n">
        <f aca="false">MAX(0,T31)</f>
        <v>2920.56346047521</v>
      </c>
      <c r="V31" s="10" t="n">
        <f aca="false">IF(cap_on=1,MIN(IF(D31-lag_comp&lt;13,0,INDEX($U$8:$U$31,D31-lag_comp)),MAX(0,comp_fundo-SUM($V$20:V30))),IF(D31-lag_comp&lt;13,0,INDEX($U$8:$U$31,D31-lag_comp)))</f>
        <v>3190.71954175514</v>
      </c>
      <c r="W31" s="10" t="n">
        <f aca="false">P31+V31</f>
        <v>5782.50039956076</v>
      </c>
      <c r="X31" s="10" t="n">
        <f aca="false">s_T*p_fpm_reg*M31</f>
        <v>4.84027147951526</v>
      </c>
      <c r="Y31" s="10" t="n">
        <f aca="false">s_T*O31</f>
        <v>1.75063391807089</v>
      </c>
      <c r="Z31" s="10" t="n">
        <f aca="false">s_T*(p_fpm_reg/p_all)*V31</f>
        <v>6.46907299340448</v>
      </c>
      <c r="AA31" s="10" t="n">
        <f aca="false">s_T*(p_fpm_ext/p_all)*V31</f>
        <v>0.862543065787264</v>
      </c>
      <c r="AB31" s="10" t="n">
        <f aca="false">fundeb*(X31+Z31)</f>
        <v>2.26186889458395</v>
      </c>
      <c r="AC31" s="10" t="n">
        <f aca="false">X31+Y31-fundeb*X31</f>
        <v>5.62285110168309</v>
      </c>
      <c r="AD31" s="10" t="n">
        <f aca="false">Z31+AA31-fundeb*Z31</f>
        <v>6.03780146051085</v>
      </c>
      <c r="AE31" s="10" t="n">
        <f aca="false">AC31+AD31</f>
        <v>11.6606525621939</v>
      </c>
      <c r="AF31" s="10" t="n">
        <f aca="false">s_T*Q31*(p_fpm_reg/p_all*(1-fundeb)+p_fpm_ext/p_all)</f>
        <v>10.4310141145927</v>
      </c>
      <c r="AG31" s="10" t="n">
        <f aca="false">AE31-AF31</f>
        <v>1.22963844760125</v>
      </c>
      <c r="AH31" s="10" t="n">
        <f aca="false">SUM($AG$20:AG31)</f>
        <v>-9.97839348814421</v>
      </c>
      <c r="AI31" s="10" t="n">
        <f aca="false">share_ipiis*(orc_cota*INDEX(w_fpm,C31)*(1-fundeb)+IF(OR(C31=7,C31=9,C31=12),orc_extra/3,0))</f>
        <v>7.61602043178052</v>
      </c>
      <c r="AJ31" s="10" t="n">
        <f aca="false">AC31-AI31</f>
        <v>-1.99316933009743</v>
      </c>
      <c r="AK31" s="10" t="n">
        <f aca="false">SUM($AJ$20:AJ31)</f>
        <v>-20.7587107983547</v>
      </c>
    </row>
    <row r="33" customFormat="false" ht="15" hidden="false" customHeight="false" outlineLevel="0" collapsed="false">
      <c r="A33" s="12" t="s">
        <v>376</v>
      </c>
      <c r="G33" s="56" t="n">
        <f aca="false">SUM(G20:G31)</f>
        <v>20998.175</v>
      </c>
      <c r="H33" s="56" t="n">
        <f aca="false">SUM(H20:H31)</f>
        <v>10206.3601765808</v>
      </c>
      <c r="I33" s="56" t="n">
        <f aca="false">SUM(I20:I31)</f>
        <v>0</v>
      </c>
      <c r="J33" s="56" t="n">
        <f aca="false">SUM(J20:J31)</f>
        <v>17498.4791666667</v>
      </c>
      <c r="K33" s="56" t="n">
        <f aca="false">SUM(K20:K31)</f>
        <v>14947.6187812477</v>
      </c>
      <c r="L33" s="56" t="n">
        <f aca="false">SUM(L20:L31)</f>
        <v>15468.6555833333</v>
      </c>
      <c r="M33" s="56" t="n">
        <f aca="false">SUM(M20:M31)</f>
        <v>30416.2743645811</v>
      </c>
      <c r="N33" s="56" t="n">
        <f aca="false">SUM(N20:N31)</f>
        <v>17337.2763878112</v>
      </c>
      <c r="O33" s="56" t="n">
        <f aca="false">SUM(O20:O31)</f>
        <v>1385.64779424352</v>
      </c>
      <c r="P33" s="56" t="n">
        <f aca="false">SUM(P20:P31)</f>
        <v>18722.9241820547</v>
      </c>
      <c r="Q33" s="56" t="n">
        <f aca="false">SUM(Q20:Q31)</f>
        <v>64883.0492661198</v>
      </c>
      <c r="R33" s="56" t="n">
        <f aca="false">SUM(R20:R31)</f>
        <v>46160.125084065</v>
      </c>
      <c r="U33" s="56" t="n">
        <f aca="false">SUM(U20:U31)</f>
        <v>46160.125084065</v>
      </c>
      <c r="V33" s="56" t="n">
        <f aca="false">SUM(V20:V31)</f>
        <v>40008.246483004</v>
      </c>
      <c r="W33" s="56" t="n">
        <f aca="false">SUM(W20:W31)</f>
        <v>58731.1706650587</v>
      </c>
      <c r="X33" s="56" t="n">
        <f aca="false">SUM(X20:X31)</f>
        <v>37.0007635851924</v>
      </c>
      <c r="Y33" s="56" t="n">
        <f aca="false">SUM(Y20:Y31)</f>
        <v>7.49160733751436</v>
      </c>
      <c r="Z33" s="56" t="n">
        <f aca="false">SUM(Z20:Z31)</f>
        <v>81.1153294577253</v>
      </c>
      <c r="AA33" s="56" t="n">
        <f aca="false">SUM(AA20:AA31)</f>
        <v>10.81537726103</v>
      </c>
      <c r="AB33" s="56" t="n">
        <f aca="false">SUM(AB20:AB31)</f>
        <v>23.6232186085835</v>
      </c>
      <c r="AC33" s="56" t="n">
        <f aca="false">SUM(AC20:AC31)</f>
        <v>37.0922182056683</v>
      </c>
      <c r="AD33" s="56" t="n">
        <f aca="false">SUM(AD20:AD31)</f>
        <v>75.7076408272103</v>
      </c>
      <c r="AE33" s="56" t="n">
        <f aca="false">SUM(AE20:AE31)</f>
        <v>112.799859032879</v>
      </c>
      <c r="AF33" s="56" t="n">
        <f aca="false">SUM(AF20:AF31)</f>
        <v>122.778252521023</v>
      </c>
      <c r="AG33" s="56" t="n">
        <f aca="false">SUM(AG20:AG31)</f>
        <v>-9.97839348814421</v>
      </c>
      <c r="AI33" s="56" t="n">
        <f aca="false">SUM(AI20:AI31)</f>
        <v>57.850929004023</v>
      </c>
      <c r="AJ33" s="56" t="n">
        <f aca="false">SUM(AJ20:AJ31)</f>
        <v>-20.7587107983547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80"/>
    <col collapsed="false" customWidth="true" hidden="false" outlineLevel="0" max="4" min="3" style="0" width="18"/>
    <col collapsed="false" customWidth="true" hidden="false" outlineLevel="0" max="5" min="5" style="0" width="70"/>
  </cols>
  <sheetData>
    <row r="1" customFormat="false" ht="24" hidden="false" customHeight="true" outlineLevel="0" collapsed="false">
      <c r="A1" s="1" t="s">
        <v>379</v>
      </c>
      <c r="B1" s="2"/>
      <c r="C1" s="2"/>
      <c r="D1" s="2"/>
      <c r="E1" s="2"/>
    </row>
    <row r="2" customFormat="false" ht="15" hidden="false" customHeight="false" outlineLevel="0" collapsed="false">
      <c r="A2" s="3" t="s">
        <v>380</v>
      </c>
    </row>
    <row r="4" customFormat="false" ht="15" hidden="false" customHeight="false" outlineLevel="0" collapsed="false">
      <c r="A4" s="12" t="s">
        <v>381</v>
      </c>
    </row>
    <row r="5" customFormat="false" ht="15" hidden="false" customHeight="false" outlineLevel="0" collapsed="false">
      <c r="A5" s="37" t="s">
        <v>382</v>
      </c>
      <c r="B5" s="37" t="s">
        <v>383</v>
      </c>
      <c r="C5" s="57" t="n">
        <v>8169</v>
      </c>
    </row>
    <row r="6" customFormat="false" ht="15" hidden="false" customHeight="false" outlineLevel="0" collapsed="false">
      <c r="A6" s="37" t="s">
        <v>384</v>
      </c>
      <c r="B6" s="37" t="s">
        <v>385</v>
      </c>
      <c r="C6" s="57" t="n">
        <v>17197.94</v>
      </c>
    </row>
    <row r="7" customFormat="false" ht="15" hidden="false" customHeight="false" outlineLevel="0" collapsed="false">
      <c r="A7" s="37" t="s">
        <v>386</v>
      </c>
      <c r="B7" s="37" t="s">
        <v>387</v>
      </c>
      <c r="C7" s="58" t="n">
        <v>0.04293385</v>
      </c>
    </row>
    <row r="8" customFormat="false" ht="15" hidden="false" customHeight="false" outlineLevel="0" collapsed="false">
      <c r="A8" s="37" t="s">
        <v>388</v>
      </c>
      <c r="B8" s="37" t="s">
        <v>389</v>
      </c>
      <c r="C8" s="57" t="n">
        <v>3799.5</v>
      </c>
    </row>
    <row r="9" customFormat="false" ht="15" hidden="false" customHeight="false" outlineLevel="0" collapsed="false">
      <c r="A9" s="37" t="s">
        <v>390</v>
      </c>
      <c r="B9" s="37" t="s">
        <v>391</v>
      </c>
      <c r="C9" s="57" t="n">
        <v>7999.04</v>
      </c>
    </row>
    <row r="10" customFormat="false" ht="15" hidden="false" customHeight="false" outlineLevel="0" collapsed="false">
      <c r="A10" s="37" t="s">
        <v>392</v>
      </c>
      <c r="B10" s="37" t="s">
        <v>393</v>
      </c>
      <c r="C10" s="58" t="n">
        <v>0.00022456</v>
      </c>
    </row>
    <row r="11" customFormat="false" ht="15" hidden="false" customHeight="false" outlineLevel="0" collapsed="false">
      <c r="A11" s="37" t="s">
        <v>394</v>
      </c>
      <c r="B11" s="37" t="s">
        <v>395</v>
      </c>
      <c r="C11" s="57" t="n">
        <v>7223.4</v>
      </c>
    </row>
    <row r="12" customFormat="false" ht="15" hidden="false" customHeight="false" outlineLevel="0" collapsed="false">
      <c r="A12" s="37" t="s">
        <v>396</v>
      </c>
      <c r="B12" s="37" t="s">
        <v>397</v>
      </c>
      <c r="C12" s="57" t="n">
        <v>3359.7</v>
      </c>
    </row>
    <row r="14" customFormat="false" ht="15" hidden="false" customHeight="false" outlineLevel="0" collapsed="false">
      <c r="A14" s="12" t="s">
        <v>398</v>
      </c>
    </row>
    <row r="15" customFormat="false" ht="15" hidden="false" customHeight="false" outlineLevel="0" collapsed="false">
      <c r="A15" s="6" t="s">
        <v>399</v>
      </c>
      <c r="B15" s="6" t="s">
        <v>175</v>
      </c>
      <c r="C15" s="6" t="s">
        <v>400</v>
      </c>
      <c r="D15" s="6" t="s">
        <v>401</v>
      </c>
      <c r="E15" s="6" t="s">
        <v>160</v>
      </c>
    </row>
    <row r="16" customFormat="false" ht="15" hidden="false" customHeight="false" outlineLevel="0" collapsed="false">
      <c r="A16" s="59" t="s">
        <v>402</v>
      </c>
      <c r="B16" s="59" t="s">
        <v>403</v>
      </c>
      <c r="C16" s="60" t="n">
        <v>-387.65</v>
      </c>
      <c r="D16" s="61" t="n">
        <f aca="false">(C5-C6)*C7</f>
        <v>-387.647155619</v>
      </c>
      <c r="E16" s="62"/>
    </row>
    <row r="17" customFormat="false" ht="15" hidden="false" customHeight="false" outlineLevel="0" collapsed="false">
      <c r="A17" s="59" t="s">
        <v>404</v>
      </c>
      <c r="B17" s="59" t="s">
        <v>405</v>
      </c>
      <c r="C17" s="60" t="n">
        <v>-0.94</v>
      </c>
      <c r="D17" s="61" t="n">
        <f aca="false">(C8-C9)*C10</f>
        <v>-0.9430487024</v>
      </c>
      <c r="E17" s="62"/>
    </row>
    <row r="18" customFormat="false" ht="15" hidden="false" customHeight="false" outlineLevel="0" collapsed="false">
      <c r="A18" s="59" t="s">
        <v>406</v>
      </c>
      <c r="B18" s="59" t="s">
        <v>407</v>
      </c>
      <c r="C18" s="60" t="n">
        <v>-388.59</v>
      </c>
      <c r="D18" s="61" t="n">
        <f aca="false">D16+D17</f>
        <v>-388.5902043214</v>
      </c>
      <c r="E18" s="62"/>
    </row>
    <row r="19" customFormat="false" ht="15" hidden="false" customHeight="false" outlineLevel="0" collapsed="false">
      <c r="A19" s="59" t="s">
        <v>408</v>
      </c>
      <c r="B19" s="59" t="s">
        <v>409</v>
      </c>
      <c r="C19" s="60" t="n">
        <v>-64.76</v>
      </c>
      <c r="D19" s="61" t="n">
        <f aca="false">D18/12*2</f>
        <v>-64.7650340535667</v>
      </c>
      <c r="E19" s="62"/>
    </row>
    <row r="20" customFormat="false" ht="15" hidden="false" customHeight="false" outlineLevel="0" collapsed="false">
      <c r="A20" s="59" t="s">
        <v>410</v>
      </c>
      <c r="B20" s="59" t="s">
        <v>411</v>
      </c>
      <c r="C20" s="60" t="n">
        <v>-51.69</v>
      </c>
      <c r="D20" s="61" t="n">
        <f aca="false">-C11/6*C7</f>
        <v>-51.688062015</v>
      </c>
      <c r="E20" s="62"/>
    </row>
    <row r="21" customFormat="false" ht="15" hidden="false" customHeight="false" outlineLevel="0" collapsed="false">
      <c r="A21" s="59" t="s">
        <v>412</v>
      </c>
      <c r="B21" s="59" t="s">
        <v>413</v>
      </c>
      <c r="C21" s="60" t="n">
        <v>-0.12</v>
      </c>
      <c r="D21" s="61" t="n">
        <f aca="false">-C12/6*C10</f>
        <v>-0.125742372</v>
      </c>
      <c r="E21" s="62"/>
    </row>
    <row r="22" customFormat="false" ht="15" hidden="false" customHeight="false" outlineLevel="0" collapsed="false">
      <c r="A22" s="59" t="s">
        <v>414</v>
      </c>
      <c r="B22" s="59" t="s">
        <v>415</v>
      </c>
      <c r="C22" s="60" t="n">
        <v>-51.81</v>
      </c>
      <c r="D22" s="61" t="n">
        <f aca="false">D20+D21</f>
        <v>-51.813804387</v>
      </c>
      <c r="E22" s="62" t="s">
        <v>416</v>
      </c>
    </row>
    <row r="23" customFormat="false" ht="15" hidden="false" customHeight="false" outlineLevel="0" collapsed="false">
      <c r="A23" s="59" t="s">
        <v>417</v>
      </c>
      <c r="B23" s="59" t="s">
        <v>418</v>
      </c>
      <c r="C23" s="60" t="n">
        <v>-8.64</v>
      </c>
      <c r="D23" s="61" t="n">
        <f aca="false">D22/12*2</f>
        <v>-8.6356340645</v>
      </c>
      <c r="E23" s="62" t="s">
        <v>419</v>
      </c>
    </row>
    <row r="24" customFormat="false" ht="15" hidden="false" customHeight="false" outlineLevel="0" collapsed="false">
      <c r="A24" s="59" t="s">
        <v>420</v>
      </c>
      <c r="B24" s="59" t="s">
        <v>421</v>
      </c>
      <c r="C24" s="60" t="n">
        <v>-75.4</v>
      </c>
      <c r="D24" s="61" t="n">
        <f aca="false">D19+D23</f>
        <v>-73.4006681180667</v>
      </c>
      <c r="E24" s="62" t="s">
        <v>422</v>
      </c>
    </row>
    <row r="25" customFormat="false" ht="15" hidden="false" customHeight="false" outlineLevel="0" collapsed="false">
      <c r="A25" s="59" t="s">
        <v>423</v>
      </c>
      <c r="B25" s="59" t="s">
        <v>424</v>
      </c>
      <c r="C25" s="60" t="s">
        <v>425</v>
      </c>
      <c r="D25" s="56" t="n">
        <f aca="false">D19+D22</f>
        <v>-116.578838440567</v>
      </c>
      <c r="E25" s="62" t="s">
        <v>426</v>
      </c>
    </row>
    <row r="27" customFormat="false" ht="15" hidden="false" customHeight="false" outlineLevel="0" collapsed="false">
      <c r="A27" s="12" t="s">
        <v>427</v>
      </c>
    </row>
    <row r="28" customFormat="false" ht="15" hidden="false" customHeight="false" outlineLevel="0" collapsed="false">
      <c r="A28" s="6" t="s">
        <v>399</v>
      </c>
      <c r="B28" s="6" t="s">
        <v>175</v>
      </c>
      <c r="C28" s="6" t="s">
        <v>84</v>
      </c>
      <c r="D28" s="6"/>
      <c r="E28" s="6" t="s">
        <v>160</v>
      </c>
    </row>
    <row r="29" customFormat="false" ht="15" hidden="false" customHeight="false" outlineLevel="0" collapsed="false">
      <c r="A29" s="59" t="s">
        <v>382</v>
      </c>
      <c r="B29" s="59" t="s">
        <v>428</v>
      </c>
      <c r="C29" s="61" t="n">
        <f aca="false">ipi_fpm_26</f>
        <v>25491.034671</v>
      </c>
      <c r="D29" s="63"/>
      <c r="E29" s="62"/>
    </row>
    <row r="30" customFormat="false" ht="15" hidden="false" customHeight="false" outlineLevel="0" collapsed="false">
      <c r="A30" s="59" t="s">
        <v>384</v>
      </c>
      <c r="B30" s="59" t="s">
        <v>429</v>
      </c>
      <c r="C30" s="61" t="n">
        <f aca="false">ipi_fpm_27+is_fpm_27</f>
        <v>12110.902746578</v>
      </c>
      <c r="D30" s="63"/>
      <c r="E30" s="62"/>
    </row>
    <row r="31" customFormat="false" ht="15" hidden="false" customHeight="false" outlineLevel="0" collapsed="false">
      <c r="A31" s="59" t="s">
        <v>386</v>
      </c>
      <c r="B31" s="59" t="s">
        <v>430</v>
      </c>
      <c r="C31" s="61" t="n">
        <f aca="false">C30-C29</f>
        <v>-13380.131924422</v>
      </c>
      <c r="D31" s="63"/>
      <c r="E31" s="62"/>
    </row>
    <row r="32" customFormat="false" ht="15" hidden="false" customHeight="false" outlineLevel="0" collapsed="false">
      <c r="A32" s="59" t="s">
        <v>431</v>
      </c>
      <c r="B32" s="59" t="s">
        <v>432</v>
      </c>
      <c r="C32" s="64" t="n">
        <f aca="false">s_T</f>
        <v>0.005406574</v>
      </c>
      <c r="D32" s="63"/>
      <c r="E32" s="62"/>
    </row>
    <row r="33" customFormat="false" ht="15" hidden="false" customHeight="false" outlineLevel="0" collapsed="false">
      <c r="A33" s="59" t="s">
        <v>388</v>
      </c>
      <c r="B33" s="59" t="s">
        <v>433</v>
      </c>
      <c r="C33" s="65" t="n">
        <f aca="false">1-fundeb*p_fpm_reg/p_fpm</f>
        <v>0.823529411764706</v>
      </c>
      <c r="D33" s="63"/>
      <c r="E33" s="62" t="s">
        <v>434</v>
      </c>
    </row>
    <row r="34" customFormat="false" ht="15" hidden="false" customHeight="false" outlineLevel="0" collapsed="false">
      <c r="A34" s="59" t="s">
        <v>390</v>
      </c>
      <c r="B34" s="59" t="s">
        <v>435</v>
      </c>
      <c r="C34" s="61" t="n">
        <f aca="false">C31*C32*C33</f>
        <v>-59.5746721945941</v>
      </c>
      <c r="D34" s="63"/>
      <c r="E34" s="62"/>
    </row>
    <row r="35" customFormat="false" ht="15" hidden="false" customHeight="false" outlineLevel="0" collapsed="false">
      <c r="A35" s="59" t="s">
        <v>392</v>
      </c>
      <c r="B35" s="59" t="s">
        <v>436</v>
      </c>
      <c r="C35" s="61" t="n">
        <f aca="false">C34/12*2</f>
        <v>-9.92911203243235</v>
      </c>
      <c r="D35" s="63"/>
      <c r="E35" s="62"/>
    </row>
    <row r="36" customFormat="false" ht="15" hidden="false" customHeight="false" outlineLevel="0" collapsed="false">
      <c r="A36" s="59" t="s">
        <v>437</v>
      </c>
      <c r="B36" s="59" t="s">
        <v>438</v>
      </c>
      <c r="C36" s="61" t="n">
        <f aca="false">-is_fpm_27*C32*C33/6</f>
        <v>-7.9469730901715</v>
      </c>
      <c r="D36" s="63"/>
      <c r="E36" s="62" t="s">
        <v>439</v>
      </c>
    </row>
    <row r="37" customFormat="false" ht="15" hidden="false" customHeight="false" outlineLevel="0" collapsed="false">
      <c r="A37" s="59" t="s">
        <v>440</v>
      </c>
      <c r="B37" s="59" t="s">
        <v>441</v>
      </c>
      <c r="C37" s="61" t="n">
        <f aca="false">C35+C36</f>
        <v>-17.8760851226039</v>
      </c>
      <c r="D37" s="63"/>
      <c r="E37" s="62"/>
    </row>
    <row r="38" customFormat="false" ht="15" hidden="false" customHeight="false" outlineLevel="0" collapsed="false">
      <c r="A38" s="59" t="s">
        <v>442</v>
      </c>
      <c r="B38" s="59" t="s">
        <v>443</v>
      </c>
      <c r="C38" s="61" t="n">
        <f aca="false">comp_fundo*p_fpm/p_all*C32*C33</f>
        <v>63.91738287984</v>
      </c>
      <c r="D38" s="63"/>
      <c r="E38" s="62" t="s">
        <v>444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140"/>
  </cols>
  <sheetData>
    <row r="1" customFormat="false" ht="24" hidden="false" customHeight="true" outlineLevel="0" collapsed="false">
      <c r="A1" s="1" t="s">
        <v>445</v>
      </c>
      <c r="B1" s="2"/>
      <c r="C1" s="2"/>
    </row>
    <row r="3" customFormat="false" ht="15" hidden="false" customHeight="false" outlineLevel="0" collapsed="false">
      <c r="A3" s="6" t="s">
        <v>446</v>
      </c>
      <c r="B3" s="6" t="s">
        <v>447</v>
      </c>
      <c r="C3" s="6" t="s">
        <v>448</v>
      </c>
    </row>
    <row r="4" customFormat="false" ht="45" hidden="false" customHeight="true" outlineLevel="0" collapsed="false">
      <c r="A4" s="66" t="s">
        <v>449</v>
      </c>
      <c r="B4" s="66" t="s">
        <v>450</v>
      </c>
      <c r="C4" s="16" t="s">
        <v>451</v>
      </c>
    </row>
    <row r="5" customFormat="false" ht="45" hidden="false" customHeight="true" outlineLevel="0" collapsed="false">
      <c r="A5" s="66" t="s">
        <v>452</v>
      </c>
      <c r="B5" s="66" t="s">
        <v>453</v>
      </c>
      <c r="C5" s="16" t="s">
        <v>454</v>
      </c>
    </row>
    <row r="6" customFormat="false" ht="60" hidden="false" customHeight="true" outlineLevel="0" collapsed="false">
      <c r="A6" s="66" t="s">
        <v>455</v>
      </c>
      <c r="B6" s="66" t="s">
        <v>456</v>
      </c>
      <c r="C6" s="16" t="s">
        <v>457</v>
      </c>
    </row>
    <row r="7" customFormat="false" ht="90" hidden="false" customHeight="true" outlineLevel="0" collapsed="false">
      <c r="A7" s="66" t="s">
        <v>458</v>
      </c>
      <c r="B7" s="66" t="s">
        <v>459</v>
      </c>
      <c r="C7" s="16" t="s">
        <v>460</v>
      </c>
    </row>
    <row r="8" customFormat="false" ht="45" hidden="false" customHeight="true" outlineLevel="0" collapsed="false">
      <c r="A8" s="66" t="s">
        <v>461</v>
      </c>
      <c r="B8" s="66" t="s">
        <v>462</v>
      </c>
      <c r="C8" s="16" t="s">
        <v>463</v>
      </c>
    </row>
    <row r="9" customFormat="false" ht="45" hidden="false" customHeight="true" outlineLevel="0" collapsed="false">
      <c r="A9" s="66" t="s">
        <v>464</v>
      </c>
      <c r="B9" s="66" t="s">
        <v>465</v>
      </c>
      <c r="C9" s="16" t="s">
        <v>466</v>
      </c>
    </row>
    <row r="10" customFormat="false" ht="60" hidden="false" customHeight="true" outlineLevel="0" collapsed="false">
      <c r="A10" s="66" t="s">
        <v>467</v>
      </c>
      <c r="B10" s="66" t="s">
        <v>468</v>
      </c>
      <c r="C10" s="16" t="s">
        <v>469</v>
      </c>
    </row>
    <row r="11" customFormat="false" ht="75" hidden="false" customHeight="true" outlineLevel="0" collapsed="false">
      <c r="A11" s="66" t="s">
        <v>470</v>
      </c>
      <c r="B11" s="66" t="s">
        <v>471</v>
      </c>
      <c r="C11" s="16" t="s">
        <v>472</v>
      </c>
    </row>
    <row r="12" customFormat="false" ht="90" hidden="false" customHeight="true" outlineLevel="0" collapsed="false">
      <c r="A12" s="66" t="s">
        <v>473</v>
      </c>
      <c r="B12" s="66" t="s">
        <v>474</v>
      </c>
      <c r="C12" s="16" t="s">
        <v>475</v>
      </c>
    </row>
    <row r="13" customFormat="false" ht="30" hidden="false" customHeight="true" outlineLevel="0" collapsed="false">
      <c r="A13" s="66" t="s">
        <v>476</v>
      </c>
      <c r="B13" s="66" t="s">
        <v>477</v>
      </c>
      <c r="C13" s="16" t="s">
        <v>478</v>
      </c>
    </row>
    <row r="14" customFormat="false" ht="60" hidden="false" customHeight="true" outlineLevel="0" collapsed="false">
      <c r="A14" s="66" t="s">
        <v>479</v>
      </c>
      <c r="B14" s="66" t="s">
        <v>480</v>
      </c>
      <c r="C14" s="16" t="s">
        <v>481</v>
      </c>
    </row>
    <row r="15" customFormat="false" ht="45" hidden="false" customHeight="true" outlineLevel="0" collapsed="false">
      <c r="A15" s="66" t="s">
        <v>482</v>
      </c>
      <c r="B15" s="66" t="s">
        <v>483</v>
      </c>
      <c r="C15" s="16" t="s">
        <v>484</v>
      </c>
    </row>
    <row r="16" customFormat="false" ht="60" hidden="false" customHeight="true" outlineLevel="0" collapsed="false">
      <c r="A16" s="66" t="s">
        <v>485</v>
      </c>
      <c r="B16" s="66" t="s">
        <v>486</v>
      </c>
      <c r="C16" s="16" t="s">
        <v>487</v>
      </c>
    </row>
    <row r="17" customFormat="false" ht="75" hidden="false" customHeight="true" outlineLevel="0" collapsed="false">
      <c r="A17" s="66" t="s">
        <v>488</v>
      </c>
      <c r="B17" s="66" t="s">
        <v>489</v>
      </c>
      <c r="C17" s="16" t="s">
        <v>490</v>
      </c>
    </row>
    <row r="18" customFormat="false" ht="45" hidden="false" customHeight="true" outlineLevel="0" collapsed="false">
      <c r="A18" s="66" t="s">
        <v>491</v>
      </c>
      <c r="B18" s="66" t="s">
        <v>492</v>
      </c>
      <c r="C18" s="16" t="s">
        <v>493</v>
      </c>
    </row>
    <row r="19" customFormat="false" ht="60" hidden="false" customHeight="true" outlineLevel="0" collapsed="false">
      <c r="A19" s="66" t="s">
        <v>494</v>
      </c>
      <c r="B19" s="66" t="s">
        <v>495</v>
      </c>
      <c r="C19" s="16" t="s">
        <v>496</v>
      </c>
    </row>
    <row r="20" customFormat="false" ht="45" hidden="false" customHeight="true" outlineLevel="0" collapsed="false">
      <c r="A20" s="66" t="s">
        <v>497</v>
      </c>
      <c r="B20" s="66" t="s">
        <v>498</v>
      </c>
      <c r="C20" s="16" t="s">
        <v>499</v>
      </c>
    </row>
    <row r="21" customFormat="false" ht="90" hidden="false" customHeight="true" outlineLevel="0" collapsed="false">
      <c r="A21" s="66" t="s">
        <v>500</v>
      </c>
      <c r="B21" s="66" t="s">
        <v>501</v>
      </c>
      <c r="C21" s="16" t="s">
        <v>502</v>
      </c>
    </row>
    <row r="22" customFormat="false" ht="30" hidden="false" customHeight="true" outlineLevel="0" collapsed="false">
      <c r="A22" s="66" t="s">
        <v>503</v>
      </c>
      <c r="B22" s="66" t="s">
        <v>504</v>
      </c>
      <c r="C22" s="16" t="s">
        <v>505</v>
      </c>
    </row>
    <row r="23" customFormat="false" ht="45" hidden="false" customHeight="true" outlineLevel="0" collapsed="false">
      <c r="A23" s="66" t="s">
        <v>506</v>
      </c>
      <c r="B23" s="66" t="s">
        <v>507</v>
      </c>
      <c r="C23" s="16" t="s">
        <v>508</v>
      </c>
    </row>
    <row r="24" customFormat="false" ht="75" hidden="false" customHeight="true" outlineLevel="0" collapsed="false">
      <c r="A24" s="66" t="s">
        <v>509</v>
      </c>
      <c r="B24" s="66" t="s">
        <v>510</v>
      </c>
      <c r="C24" s="16" t="s">
        <v>511</v>
      </c>
    </row>
    <row r="25" customFormat="false" ht="60" hidden="false" customHeight="true" outlineLevel="0" collapsed="false">
      <c r="A25" s="66" t="s">
        <v>512</v>
      </c>
      <c r="B25" s="66" t="s">
        <v>513</v>
      </c>
      <c r="C25" s="16" t="s">
        <v>514</v>
      </c>
    </row>
    <row r="26" customFormat="false" ht="45" hidden="false" customHeight="true" outlineLevel="0" collapsed="false">
      <c r="A26" s="66" t="s">
        <v>515</v>
      </c>
      <c r="B26" s="66" t="s">
        <v>516</v>
      </c>
      <c r="C26" s="16" t="s">
        <v>517</v>
      </c>
    </row>
    <row r="27" customFormat="false" ht="90" hidden="false" customHeight="true" outlineLevel="0" collapsed="false">
      <c r="A27" s="66" t="s">
        <v>518</v>
      </c>
      <c r="B27" s="66" t="s">
        <v>519</v>
      </c>
      <c r="C27" s="16" t="s">
        <v>520</v>
      </c>
    </row>
    <row r="28" customFormat="false" ht="60" hidden="false" customHeight="true" outlineLevel="0" collapsed="false">
      <c r="A28" s="66" t="s">
        <v>521</v>
      </c>
      <c r="B28" s="66" t="s">
        <v>522</v>
      </c>
      <c r="C28" s="16" t="s">
        <v>523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2026-10-22T12:00:22Z</dcterms:created>
  <dc:creator>openpyxl</dc:creator>
  <dc:description/>
  <dc:language>en-US</dc:language>
  <cp:lastModifiedBy/>
  <dcterms:modified xsi:type="dcterms:W3CDTF">2026-10-22T09:00:24Z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